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48" windowWidth="15876" windowHeight="5832" tabRatio="424" firstSheet="25" activeTab="29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  <sheet name="Feuil8" sheetId="8" r:id="rId8"/>
    <sheet name="Feuil9" sheetId="9" r:id="rId9"/>
    <sheet name="Feuil10" sheetId="10" r:id="rId10"/>
    <sheet name="Feuil11" sheetId="11" r:id="rId11"/>
    <sheet name="Feuil12" sheetId="12" r:id="rId12"/>
    <sheet name="Feuil13" sheetId="13" r:id="rId13"/>
    <sheet name="Feuil14" sheetId="14" r:id="rId14"/>
    <sheet name="Feuil15" sheetId="15" r:id="rId15"/>
    <sheet name="Feuil16v" sheetId="16" r:id="rId16"/>
    <sheet name="Feuil17v" sheetId="17" r:id="rId17"/>
    <sheet name="Feuil16h" sheetId="18" r:id="rId18"/>
    <sheet name="Feuil17h" sheetId="19" r:id="rId19"/>
    <sheet name="Feuil16" sheetId="20" r:id="rId20"/>
    <sheet name="Feuil17" sheetId="21" r:id="rId21"/>
    <sheet name="Feuil22" sheetId="22" r:id="rId22"/>
    <sheet name="Feuil22r" sheetId="23" r:id="rId23"/>
    <sheet name="fiche10A" sheetId="24" r:id="rId24"/>
    <sheet name="fiche10B" sheetId="25" r:id="rId25"/>
    <sheet name="fiche10C" sheetId="26" r:id="rId26"/>
    <sheet name="fiche11A" sheetId="27" r:id="rId27"/>
    <sheet name="fiche11B" sheetId="28" r:id="rId28"/>
    <sheet name="fiche11C" sheetId="29" r:id="rId29"/>
    <sheet name="Feuil18" sheetId="30" r:id="rId30"/>
  </sheets>
  <definedNames>
    <definedName name="INDIC_ERREUR">fiche11A!$O$2</definedName>
    <definedName name="RECH_TARIF">fiche11C!$J$2</definedName>
    <definedName name="TAB_AEROPORTS">fiche10C!$S$3:$T$6</definedName>
    <definedName name="TAB_ANNEEVIN">fiche11C!$B$3:$D$3</definedName>
    <definedName name="TAB_AVIONS">fiche10C!$P$3:$Q$5</definedName>
    <definedName name="TAB_COMPAGNIES">fiche10C!$M$3:$N$6</definedName>
    <definedName name="TAB_EMPLOI">fiche11A!$L$3:$M$5</definedName>
    <definedName name="TAB_NOMVIN">fiche11C!$A$4:$A$7</definedName>
    <definedName name="TAB_PERSONNEL">fiche11A!$G$3:$J$6</definedName>
    <definedName name="TAB_TARIFVIN">fiche11C!$B$4:$D$7</definedName>
    <definedName name="Taux_augmentation">Feuil5!$E$2</definedName>
  </definedNames>
  <calcPr calcId="145621"/>
</workbook>
</file>

<file path=xl/calcChain.xml><?xml version="1.0" encoding="utf-8"?>
<calcChain xmlns="http://schemas.openxmlformats.org/spreadsheetml/2006/main">
  <c r="H9" i="30" l="1"/>
  <c r="H8" i="30"/>
  <c r="H7" i="30"/>
  <c r="H6" i="30"/>
  <c r="H5" i="30"/>
  <c r="H4" i="30"/>
  <c r="H3" i="30"/>
  <c r="H2" i="30"/>
  <c r="G6" i="29" l="1"/>
  <c r="J2" i="29"/>
  <c r="G5" i="29"/>
  <c r="D7" i="27" l="1"/>
  <c r="E3" i="27"/>
  <c r="E4" i="27"/>
  <c r="E5" i="27"/>
  <c r="E6" i="27"/>
  <c r="C3" i="28"/>
  <c r="C7" i="28" s="1"/>
  <c r="B3" i="28"/>
  <c r="C3" i="27"/>
  <c r="C4" i="27"/>
  <c r="C5" i="27"/>
  <c r="C6" i="27"/>
  <c r="B4" i="27"/>
  <c r="B5" i="27"/>
  <c r="B6" i="27"/>
  <c r="B3" i="27"/>
  <c r="D7" i="28"/>
  <c r="C4" i="28"/>
  <c r="C5" i="28"/>
  <c r="C6" i="28"/>
  <c r="B4" i="28"/>
  <c r="B5" i="28"/>
  <c r="B6" i="28"/>
  <c r="E3" i="26"/>
  <c r="E4" i="26"/>
  <c r="E5" i="26"/>
  <c r="E6" i="26"/>
  <c r="E7" i="26"/>
  <c r="E2" i="26"/>
  <c r="K3" i="26"/>
  <c r="K4" i="26"/>
  <c r="K5" i="26"/>
  <c r="K6" i="26"/>
  <c r="K7" i="26"/>
  <c r="K2" i="26"/>
  <c r="I3" i="26"/>
  <c r="I4" i="26"/>
  <c r="I5" i="26"/>
  <c r="I6" i="26"/>
  <c r="I7" i="26"/>
  <c r="I2" i="26"/>
  <c r="G3" i="26"/>
  <c r="G4" i="26"/>
  <c r="G5" i="26"/>
  <c r="G6" i="26"/>
  <c r="G7" i="26"/>
  <c r="G2" i="26"/>
  <c r="D3" i="26"/>
  <c r="D4" i="26"/>
  <c r="D5" i="26"/>
  <c r="D6" i="26"/>
  <c r="D7" i="26"/>
  <c r="D2" i="26"/>
  <c r="D3" i="25"/>
  <c r="D4" i="25"/>
  <c r="D5" i="25"/>
  <c r="D2" i="25"/>
  <c r="C4" i="25"/>
  <c r="C5" i="25"/>
  <c r="C3" i="25"/>
  <c r="C2" i="25"/>
  <c r="C17" i="24"/>
  <c r="E7" i="27" l="1"/>
  <c r="C14" i="24"/>
  <c r="F14" i="24"/>
  <c r="G4" i="24"/>
  <c r="G5" i="24"/>
  <c r="G6" i="24"/>
  <c r="G7" i="24"/>
  <c r="G8" i="24"/>
  <c r="G9" i="24"/>
  <c r="G10" i="24"/>
  <c r="G11" i="24"/>
  <c r="G12" i="24"/>
  <c r="G13" i="24"/>
  <c r="G3" i="24"/>
  <c r="B13" i="24"/>
  <c r="D13" i="24" s="1"/>
  <c r="F4" i="24"/>
  <c r="F5" i="24"/>
  <c r="F6" i="24"/>
  <c r="F7" i="24"/>
  <c r="F8" i="24"/>
  <c r="F9" i="24"/>
  <c r="F10" i="24"/>
  <c r="F11" i="24"/>
  <c r="F12" i="24"/>
  <c r="F3" i="24"/>
  <c r="C13" i="24"/>
  <c r="E13" i="24"/>
  <c r="C12" i="24"/>
  <c r="D12" i="24"/>
  <c r="E12" i="24"/>
  <c r="C6" i="24"/>
  <c r="D6" i="24"/>
  <c r="E6" i="24"/>
  <c r="E4" i="24"/>
  <c r="E5" i="24"/>
  <c r="E7" i="24"/>
  <c r="E8" i="24"/>
  <c r="E9" i="24"/>
  <c r="E10" i="24"/>
  <c r="E11" i="24"/>
  <c r="E3" i="24"/>
  <c r="D4" i="24"/>
  <c r="D5" i="24"/>
  <c r="D7" i="24"/>
  <c r="D8" i="24"/>
  <c r="D9" i="24"/>
  <c r="D10" i="24"/>
  <c r="D11" i="24"/>
  <c r="D3" i="24"/>
  <c r="C10" i="24"/>
  <c r="C11" i="24"/>
  <c r="C9" i="24"/>
  <c r="C4" i="24"/>
  <c r="C5" i="24"/>
  <c r="C7" i="24"/>
  <c r="C8" i="24"/>
  <c r="C3" i="24"/>
  <c r="C7" i="27" l="1"/>
  <c r="E14" i="24"/>
  <c r="D14" i="24"/>
  <c r="G14" i="24"/>
  <c r="F13" i="24"/>
  <c r="E13" i="23"/>
  <c r="C13" i="23"/>
  <c r="D4" i="23"/>
  <c r="D4" i="22"/>
  <c r="C3" i="21"/>
  <c r="C2" i="21"/>
  <c r="C3" i="19"/>
  <c r="C2" i="19"/>
  <c r="C3" i="17"/>
  <c r="C2" i="17"/>
  <c r="E2" i="15" l="1"/>
  <c r="E3" i="15"/>
  <c r="E4" i="15"/>
  <c r="E5" i="15"/>
  <c r="E6" i="15"/>
  <c r="D3" i="15"/>
  <c r="D4" i="15"/>
  <c r="D5" i="15"/>
  <c r="D6" i="15"/>
  <c r="D2" i="15"/>
  <c r="C8" i="15"/>
  <c r="C2" i="14"/>
  <c r="C3" i="14"/>
  <c r="C4" i="14"/>
  <c r="D3" i="13"/>
  <c r="D4" i="13"/>
  <c r="D2" i="13"/>
  <c r="D3" i="12"/>
  <c r="D4" i="12"/>
  <c r="D2" i="12"/>
  <c r="C9" i="15" l="1"/>
  <c r="C10" i="15"/>
  <c r="A8" i="11"/>
  <c r="D6" i="10"/>
  <c r="E4" i="10"/>
  <c r="E3" i="10"/>
  <c r="E5" i="10" s="1"/>
  <c r="E2" i="10"/>
  <c r="C6" i="9"/>
  <c r="E6" i="9"/>
  <c r="E4" i="9"/>
  <c r="E3" i="9"/>
  <c r="E2" i="9"/>
  <c r="E5" i="9" s="1"/>
  <c r="D7" i="8" l="1"/>
  <c r="A7" i="8"/>
  <c r="C3" i="8"/>
  <c r="C4" i="8"/>
  <c r="C2" i="8"/>
  <c r="D3" i="3"/>
  <c r="D4" i="3"/>
  <c r="C3" i="2"/>
  <c r="C4" i="2"/>
  <c r="C4" i="7"/>
  <c r="D4" i="7"/>
  <c r="E4" i="7"/>
  <c r="F4" i="7"/>
  <c r="C5" i="7"/>
  <c r="D5" i="7"/>
  <c r="E5" i="7"/>
  <c r="F5" i="7"/>
  <c r="D3" i="7"/>
  <c r="E3" i="7"/>
  <c r="F3" i="7"/>
  <c r="C3" i="7"/>
  <c r="B6" i="6"/>
  <c r="B5" i="6"/>
  <c r="B7" i="3"/>
  <c r="D5" i="1"/>
  <c r="C4" i="5"/>
  <c r="C3" i="5"/>
  <c r="C2" i="5"/>
  <c r="C4" i="4" l="1"/>
  <c r="C3" i="4"/>
  <c r="C2" i="4"/>
  <c r="D4" i="1"/>
  <c r="D3" i="1"/>
  <c r="D2" i="3"/>
  <c r="C2" i="2"/>
  <c r="D2" i="1"/>
</calcChain>
</file>

<file path=xl/sharedStrings.xml><?xml version="1.0" encoding="utf-8"?>
<sst xmlns="http://schemas.openxmlformats.org/spreadsheetml/2006/main" count="359" uniqueCount="201">
  <si>
    <t>Article</t>
  </si>
  <si>
    <t>quantité</t>
  </si>
  <si>
    <t>prix unitaire</t>
  </si>
  <si>
    <t>prix total</t>
  </si>
  <si>
    <t>A100</t>
  </si>
  <si>
    <t>B250</t>
  </si>
  <si>
    <t>A265</t>
  </si>
  <si>
    <t>Nom</t>
  </si>
  <si>
    <t>Prénom</t>
  </si>
  <si>
    <t>Nom et prénom</t>
  </si>
  <si>
    <t>Dupont</t>
  </si>
  <si>
    <t>Jacques</t>
  </si>
  <si>
    <t>Lambert</t>
  </si>
  <si>
    <t>Lucien</t>
  </si>
  <si>
    <t>Durant</t>
  </si>
  <si>
    <t>Pierre</t>
  </si>
  <si>
    <t>PU 2013</t>
  </si>
  <si>
    <t>PU 2014</t>
  </si>
  <si>
    <t>Augmentation ?</t>
  </si>
  <si>
    <t>Prévision 2015</t>
  </si>
  <si>
    <t>Taux d'augmentation</t>
  </si>
  <si>
    <t>total</t>
  </si>
  <si>
    <t>Prix moyen 2013/2014</t>
  </si>
  <si>
    <t>PU</t>
  </si>
  <si>
    <t>prix par quantités</t>
  </si>
  <si>
    <t>Prix mini</t>
  </si>
  <si>
    <t>Prix maxi</t>
  </si>
  <si>
    <t>Stock</t>
  </si>
  <si>
    <t>En rupture</t>
  </si>
  <si>
    <t>Stock mini</t>
  </si>
  <si>
    <t>Nombre d'articles</t>
  </si>
  <si>
    <t>Quantite réappro</t>
  </si>
  <si>
    <t>Nombre réappro</t>
  </si>
  <si>
    <t>FIN DE SERIE</t>
  </si>
  <si>
    <t>Code famille</t>
  </si>
  <si>
    <t>CR</t>
  </si>
  <si>
    <t>BH</t>
  </si>
  <si>
    <t>Total pour</t>
  </si>
  <si>
    <t>Prix moyen  pour</t>
  </si>
  <si>
    <t>Nombre d'articles à recommander</t>
  </si>
  <si>
    <t>En commande</t>
  </si>
  <si>
    <t>A recommander ?</t>
  </si>
  <si>
    <t>Client</t>
  </si>
  <si>
    <t>CA</t>
  </si>
  <si>
    <t>Taux de taxe</t>
  </si>
  <si>
    <t>Limite CA taxe1</t>
  </si>
  <si>
    <t>Taux Taxe1</t>
  </si>
  <si>
    <t>Taux Taxe2</t>
  </si>
  <si>
    <t>CA Semestre1</t>
  </si>
  <si>
    <t>CA semestre2</t>
  </si>
  <si>
    <t>Bonus</t>
  </si>
  <si>
    <t>CA moyen annuel</t>
  </si>
  <si>
    <t>CA annuel</t>
  </si>
  <si>
    <t>CA Moyen * 25%</t>
  </si>
  <si>
    <t>CA Moyen * 75%</t>
  </si>
  <si>
    <t>client</t>
  </si>
  <si>
    <t>raison sociale</t>
  </si>
  <si>
    <t>ville</t>
  </si>
  <si>
    <t>DUPONT SA</t>
  </si>
  <si>
    <t>CLEMENT SARL</t>
  </si>
  <si>
    <t>SA Desmoulins</t>
  </si>
  <si>
    <t>Calais</t>
  </si>
  <si>
    <t>Boulogne</t>
  </si>
  <si>
    <t>Dunkerque</t>
  </si>
  <si>
    <t>St Omer</t>
  </si>
  <si>
    <t>CARPENTIER</t>
  </si>
  <si>
    <t>Facture</t>
  </si>
  <si>
    <t>quantite</t>
  </si>
  <si>
    <t>taux remise</t>
  </si>
  <si>
    <t>quantité achetée</t>
  </si>
  <si>
    <t>Taux remise correspondant</t>
  </si>
  <si>
    <t>&amp;</t>
  </si>
  <si>
    <t>Valeurs</t>
  </si>
  <si>
    <t xml:space="preserve"> </t>
  </si>
  <si>
    <t>A</t>
  </si>
  <si>
    <t>cellule vide</t>
  </si>
  <si>
    <t>un espace</t>
  </si>
  <si>
    <t>VRAI</t>
  </si>
  <si>
    <t>VRAI préfixé de '</t>
  </si>
  <si>
    <t>lettre A</t>
  </si>
  <si>
    <t>nombre 0</t>
  </si>
  <si>
    <t>caractère éperluette</t>
  </si>
  <si>
    <t>logique VRAI</t>
  </si>
  <si>
    <t>logique FAUX</t>
  </si>
  <si>
    <t>nombre 2014</t>
  </si>
  <si>
    <t>Tests</t>
  </si>
  <si>
    <t>ESTNUM</t>
  </si>
  <si>
    <t>ESTTEXTE</t>
  </si>
  <si>
    <t>ESTLOGIQUE</t>
  </si>
  <si>
    <t>ESTVIDE</t>
  </si>
  <si>
    <t>formule : =si(1=1;"";"")</t>
  </si>
  <si>
    <t>NBCAR</t>
  </si>
  <si>
    <t>nombre 20% soit 0,20</t>
  </si>
  <si>
    <t>valeur 0,2 avec 3 décimales</t>
  </si>
  <si>
    <t xml:space="preserve">entrer un nombre : </t>
  </si>
  <si>
    <t>a</t>
  </si>
  <si>
    <t>Montant total</t>
  </si>
  <si>
    <t>ESTERREUR</t>
  </si>
  <si>
    <t>Nombre de produits</t>
  </si>
  <si>
    <t>Cout unitaire</t>
  </si>
  <si>
    <t>Code</t>
  </si>
  <si>
    <t>libellé</t>
  </si>
  <si>
    <t>A380</t>
  </si>
  <si>
    <t>Airbus A380</t>
  </si>
  <si>
    <t>A320</t>
  </si>
  <si>
    <t>Airbus A320 Neo</t>
  </si>
  <si>
    <t>B787</t>
  </si>
  <si>
    <t>Boeing 787</t>
  </si>
  <si>
    <t>Vol</t>
  </si>
  <si>
    <t>Code avion</t>
  </si>
  <si>
    <t>Avions</t>
  </si>
  <si>
    <t>Compagnies</t>
  </si>
  <si>
    <t>Code compagnie</t>
  </si>
  <si>
    <t>nom</t>
  </si>
  <si>
    <t>nom compagnie</t>
  </si>
  <si>
    <t>nom avion</t>
  </si>
  <si>
    <t>AF</t>
  </si>
  <si>
    <t>Air France</t>
  </si>
  <si>
    <t>Aeroports</t>
  </si>
  <si>
    <t>LHR</t>
  </si>
  <si>
    <t>Londres Heathrow, GB</t>
  </si>
  <si>
    <t>CDG</t>
  </si>
  <si>
    <t>Paris-Charles-de-Gaulle, FR</t>
  </si>
  <si>
    <t>BRU</t>
  </si>
  <si>
    <t>Bruxelles-Zaventem, BE</t>
  </si>
  <si>
    <t>BA</t>
  </si>
  <si>
    <t>British Airways</t>
  </si>
  <si>
    <t>AC</t>
  </si>
  <si>
    <t>Air Canada</t>
  </si>
  <si>
    <t>AA</t>
  </si>
  <si>
    <t>American Airlines</t>
  </si>
  <si>
    <t>départ</t>
  </si>
  <si>
    <t>arrivée</t>
  </si>
  <si>
    <t>CHG</t>
  </si>
  <si>
    <t>YYZ</t>
  </si>
  <si>
    <t>Pearson Toronto, CA</t>
  </si>
  <si>
    <t>A381</t>
  </si>
  <si>
    <t>af</t>
  </si>
  <si>
    <t>ESTNA</t>
  </si>
  <si>
    <t xml:space="preserve">AF </t>
  </si>
  <si>
    <t>normal</t>
  </si>
  <si>
    <t>en minuscules</t>
  </si>
  <si>
    <t>avec un espace en plus !</t>
  </si>
  <si>
    <t>BD</t>
  </si>
  <si>
    <t>normal (mais inexistant)</t>
  </si>
  <si>
    <t>vide</t>
  </si>
  <si>
    <t>Matricule</t>
  </si>
  <si>
    <t>Salaire de base</t>
  </si>
  <si>
    <t>Personnel</t>
  </si>
  <si>
    <t>code emploi</t>
  </si>
  <si>
    <t>Emploi</t>
  </si>
  <si>
    <t>prénom</t>
  </si>
  <si>
    <t>Rigole</t>
  </si>
  <si>
    <t>Jean</t>
  </si>
  <si>
    <t>EMP</t>
  </si>
  <si>
    <t>TEC</t>
  </si>
  <si>
    <t>AGM</t>
  </si>
  <si>
    <t>Perret</t>
  </si>
  <si>
    <t>Inès</t>
  </si>
  <si>
    <t>Golo</t>
  </si>
  <si>
    <t>Henry</t>
  </si>
  <si>
    <t>Oposte</t>
  </si>
  <si>
    <t>Fidel</t>
  </si>
  <si>
    <t>Prime</t>
  </si>
  <si>
    <t>totaux</t>
  </si>
  <si>
    <t>erreurs ?</t>
  </si>
  <si>
    <t>Paie du mois de Octobre 2014 (sans gestion d'erreur)</t>
  </si>
  <si>
    <t>Paie du mois de Octobre 2014 (avec gestion d'erreurs)</t>
  </si>
  <si>
    <t>Indicateur d'erreur</t>
  </si>
  <si>
    <t>*erreur*</t>
  </si>
  <si>
    <t>EPM</t>
  </si>
  <si>
    <t>Tarif des vins</t>
  </si>
  <si>
    <t>Année</t>
  </si>
  <si>
    <t>Vin</t>
  </si>
  <si>
    <t>rechercher un vin</t>
  </si>
  <si>
    <t>Sylvaner</t>
  </si>
  <si>
    <t>Riesling</t>
  </si>
  <si>
    <t xml:space="preserve">Gewurztraminer </t>
  </si>
  <si>
    <t>Pinot noir</t>
  </si>
  <si>
    <t>Tarif</t>
  </si>
  <si>
    <t>Annee</t>
  </si>
  <si>
    <t>Pinot*</t>
  </si>
  <si>
    <t>Recherche du tarif</t>
  </si>
  <si>
    <t>Tarif2</t>
  </si>
  <si>
    <t>Ligne</t>
  </si>
  <si>
    <t>Référence produit</t>
  </si>
  <si>
    <t>Désignation produit</t>
  </si>
  <si>
    <t>Prix unitaire produit</t>
  </si>
  <si>
    <t>quantité commandée</t>
  </si>
  <si>
    <t>Unité de commande du produit</t>
  </si>
  <si>
    <t>Délai souhaité</t>
  </si>
  <si>
    <t>montant</t>
  </si>
  <si>
    <t>Farine 45</t>
  </si>
  <si>
    <t>Kg</t>
  </si>
  <si>
    <t>B500</t>
  </si>
  <si>
    <t>Farine 65</t>
  </si>
  <si>
    <t>Livre</t>
  </si>
  <si>
    <t>B600</t>
  </si>
  <si>
    <t>Farine 110</t>
  </si>
  <si>
    <t>D300</t>
  </si>
  <si>
    <t>Farine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</si>
</sst>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0.000"/>
    <numFmt numFmtId="165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6" applyNumberFormat="0" applyFill="0" applyAlignment="0" applyProtection="0"/>
  </cellStyleXfs>
  <cellXfs count="50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0" fontId="0" fillId="0" borderId="0" xfId="0" applyNumberFormat="1"/>
    <xf numFmtId="10" fontId="0" fillId="0" borderId="0" xfId="2" applyNumberFormat="1" applyFont="1"/>
    <xf numFmtId="44" fontId="0" fillId="0" borderId="0" xfId="1" applyFont="1"/>
    <xf numFmtId="44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2" applyFont="1"/>
    <xf numFmtId="0" fontId="2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64" fontId="0" fillId="3" borderId="1" xfId="0" quotePrefix="1" applyNumberFormat="1" applyFill="1" applyBorder="1" applyAlignment="1">
      <alignment horizontal="center"/>
    </xf>
    <xf numFmtId="9" fontId="0" fillId="0" borderId="1" xfId="0" applyNumberFormat="1" applyBorder="1"/>
    <xf numFmtId="9" fontId="0" fillId="0" borderId="1" xfId="2" applyFont="1" applyBorder="1"/>
    <xf numFmtId="44" fontId="0" fillId="0" borderId="1" xfId="1" applyFont="1" applyBorder="1"/>
    <xf numFmtId="44" fontId="0" fillId="0" borderId="1" xfId="0" applyNumberFormat="1" applyBorder="1"/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44" fontId="2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6" xfId="3"/>
    <xf numFmtId="165" fontId="0" fillId="0" borderId="1" xfId="0" applyNumberFormat="1" applyBorder="1"/>
    <xf numFmtId="0" fontId="0" fillId="3" borderId="1" xfId="0" applyFill="1" applyBorder="1"/>
    <xf numFmtId="44" fontId="0" fillId="0" borderId="1" xfId="1" applyFont="1" applyBorder="1" applyAlignment="1">
      <alignment wrapText="1"/>
    </xf>
    <xf numFmtId="165" fontId="0" fillId="0" borderId="2" xfId="0" applyNumberFormat="1" applyBorder="1"/>
    <xf numFmtId="165" fontId="0" fillId="0" borderId="5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0" fontId="0" fillId="4" borderId="1" xfId="0" applyFill="1" applyBorder="1"/>
    <xf numFmtId="44" fontId="0" fillId="4" borderId="1" xfId="1" applyFont="1" applyFill="1" applyBorder="1"/>
    <xf numFmtId="0" fontId="0" fillId="0" borderId="0" xfId="0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44" fontId="1" fillId="0" borderId="0" xfId="1" applyFont="1"/>
    <xf numFmtId="14" fontId="0" fillId="0" borderId="0" xfId="0" applyNumberFormat="1"/>
  </cellXfs>
  <cellStyles count="4">
    <cellStyle name="Monétaire" xfId="1" builtinId="4"/>
    <cellStyle name="Normal" xfId="0" builtinId="0"/>
    <cellStyle name="Pourcentage" xfId="2" builtinId="5"/>
    <cellStyle name="Titre 2" xfId="3" builtinId="17"/>
  </cellStyles>
  <dxfs count="3">
    <dxf>
      <font>
        <b/>
        <i val="0"/>
        <color auto="1"/>
      </font>
      <fill>
        <patternFill>
          <bgColor theme="4" tint="0.59996337778862885"/>
        </patternFill>
      </fill>
    </dxf>
    <dxf>
      <font>
        <b/>
        <i val="0"/>
        <color auto="1"/>
      </font>
      <fill>
        <patternFill>
          <bgColor theme="4" tint="0.59996337778862885"/>
        </patternFill>
      </fill>
    </dxf>
    <dxf>
      <font>
        <b/>
        <i val="0"/>
        <color auto="1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2" sqref="D2"/>
    </sheetView>
  </sheetViews>
  <sheetFormatPr baseColWidth="10" defaultRowHeight="14.4" x14ac:dyDescent="0.3"/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t="s">
        <v>4</v>
      </c>
      <c r="B2">
        <v>10</v>
      </c>
      <c r="C2">
        <v>1.5</v>
      </c>
      <c r="D2">
        <f>B2*C2</f>
        <v>15</v>
      </c>
    </row>
    <row r="3" spans="1:4" x14ac:dyDescent="0.3">
      <c r="A3" t="s">
        <v>5</v>
      </c>
      <c r="B3">
        <v>25</v>
      </c>
      <c r="C3">
        <v>5.25</v>
      </c>
      <c r="D3">
        <f>B3*C3</f>
        <v>131.25</v>
      </c>
    </row>
    <row r="4" spans="1:4" x14ac:dyDescent="0.3">
      <c r="A4" t="s">
        <v>6</v>
      </c>
      <c r="B4">
        <v>32</v>
      </c>
      <c r="C4">
        <v>3</v>
      </c>
      <c r="D4">
        <f>B4*C4</f>
        <v>96</v>
      </c>
    </row>
    <row r="5" spans="1:4" x14ac:dyDescent="0.3">
      <c r="C5" t="s">
        <v>21</v>
      </c>
      <c r="D5">
        <f>SUM(D2:D4)</f>
        <v>242.25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E6"/>
    </sheetView>
  </sheetViews>
  <sheetFormatPr baseColWidth="10" defaultRowHeight="14.4" x14ac:dyDescent="0.3"/>
  <cols>
    <col min="2" max="2" width="15" customWidth="1"/>
  </cols>
  <sheetData>
    <row r="1" spans="1:5" x14ac:dyDescent="0.3">
      <c r="A1" t="s">
        <v>0</v>
      </c>
      <c r="B1" t="s">
        <v>34</v>
      </c>
      <c r="C1" t="s">
        <v>1</v>
      </c>
      <c r="D1" t="s">
        <v>2</v>
      </c>
      <c r="E1" t="s">
        <v>3</v>
      </c>
    </row>
    <row r="2" spans="1:5" x14ac:dyDescent="0.3">
      <c r="A2" t="s">
        <v>4</v>
      </c>
      <c r="B2" t="s">
        <v>35</v>
      </c>
      <c r="C2">
        <v>10</v>
      </c>
      <c r="D2">
        <v>1.5</v>
      </c>
      <c r="E2">
        <f>C2*D2</f>
        <v>15</v>
      </c>
    </row>
    <row r="3" spans="1:5" x14ac:dyDescent="0.3">
      <c r="A3" t="s">
        <v>5</v>
      </c>
      <c r="B3" t="s">
        <v>35</v>
      </c>
      <c r="C3">
        <v>25</v>
      </c>
      <c r="D3">
        <v>5.25</v>
      </c>
      <c r="E3">
        <f>C3*D3</f>
        <v>131.25</v>
      </c>
    </row>
    <row r="4" spans="1:5" x14ac:dyDescent="0.3">
      <c r="A4" t="s">
        <v>6</v>
      </c>
      <c r="B4" t="s">
        <v>36</v>
      </c>
      <c r="C4">
        <v>32</v>
      </c>
      <c r="D4">
        <v>3</v>
      </c>
      <c r="E4">
        <f>C4*D4</f>
        <v>96</v>
      </c>
    </row>
    <row r="5" spans="1:5" x14ac:dyDescent="0.3">
      <c r="D5" s="3" t="s">
        <v>21</v>
      </c>
      <c r="E5">
        <f>SUM(E2:E4)</f>
        <v>242.25</v>
      </c>
    </row>
    <row r="6" spans="1:5" x14ac:dyDescent="0.3">
      <c r="B6" t="s">
        <v>38</v>
      </c>
      <c r="C6" t="s">
        <v>35</v>
      </c>
      <c r="D6">
        <f>AVERAGEIF(B2:B4,C6,D2:D4)</f>
        <v>3.375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baseColWidth="10" defaultRowHeight="14.4" x14ac:dyDescent="0.3"/>
  <sheetData>
    <row r="1" spans="1:2" x14ac:dyDescent="0.3">
      <c r="A1" t="s">
        <v>0</v>
      </c>
      <c r="B1" t="s">
        <v>27</v>
      </c>
    </row>
    <row r="2" spans="1:2" x14ac:dyDescent="0.3">
      <c r="A2" t="s">
        <v>4</v>
      </c>
      <c r="B2">
        <v>100</v>
      </c>
    </row>
    <row r="3" spans="1:2" x14ac:dyDescent="0.3">
      <c r="A3" t="s">
        <v>5</v>
      </c>
      <c r="B3">
        <v>25</v>
      </c>
    </row>
    <row r="4" spans="1:2" x14ac:dyDescent="0.3">
      <c r="A4" t="s">
        <v>6</v>
      </c>
      <c r="B4">
        <v>42</v>
      </c>
    </row>
    <row r="5" spans="1:2" x14ac:dyDescent="0.3">
      <c r="A5" t="s">
        <v>29</v>
      </c>
    </row>
    <row r="6" spans="1:2" x14ac:dyDescent="0.3">
      <c r="A6">
        <v>50</v>
      </c>
    </row>
    <row r="7" spans="1:2" x14ac:dyDescent="0.3">
      <c r="A7" t="s">
        <v>39</v>
      </c>
    </row>
    <row r="8" spans="1:2" x14ac:dyDescent="0.3">
      <c r="A8">
        <f>COUNTIF(B2:B4,"&lt;"&amp;A6)</f>
        <v>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4"/>
    </sheetView>
  </sheetViews>
  <sheetFormatPr baseColWidth="10" defaultRowHeight="14.4" x14ac:dyDescent="0.3"/>
  <cols>
    <col min="4" max="4" width="17.5546875" customWidth="1"/>
  </cols>
  <sheetData>
    <row r="1" spans="1:5" x14ac:dyDescent="0.3">
      <c r="A1" t="s">
        <v>0</v>
      </c>
      <c r="B1" t="s">
        <v>27</v>
      </c>
      <c r="C1" t="s">
        <v>40</v>
      </c>
      <c r="D1" t="s">
        <v>41</v>
      </c>
      <c r="E1" t="s">
        <v>29</v>
      </c>
    </row>
    <row r="2" spans="1:5" x14ac:dyDescent="0.3">
      <c r="A2" t="s">
        <v>4</v>
      </c>
      <c r="B2">
        <v>100</v>
      </c>
      <c r="C2">
        <v>0</v>
      </c>
      <c r="D2" t="b">
        <f>AND(B2&lt;$E$2,C2&gt;0)</f>
        <v>0</v>
      </c>
      <c r="E2">
        <v>100</v>
      </c>
    </row>
    <row r="3" spans="1:5" x14ac:dyDescent="0.3">
      <c r="A3" t="s">
        <v>5</v>
      </c>
      <c r="B3">
        <v>80</v>
      </c>
      <c r="C3">
        <v>10</v>
      </c>
      <c r="D3" t="b">
        <f t="shared" ref="D3:D4" si="0">AND(B3&lt;$E$2,C3&gt;0)</f>
        <v>1</v>
      </c>
    </row>
    <row r="4" spans="1:5" x14ac:dyDescent="0.3">
      <c r="A4" t="s">
        <v>6</v>
      </c>
      <c r="B4">
        <v>120</v>
      </c>
      <c r="C4">
        <v>50</v>
      </c>
      <c r="D4" t="b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B4"/>
    </sheetView>
  </sheetViews>
  <sheetFormatPr baseColWidth="10" defaultRowHeight="14.4" x14ac:dyDescent="0.3"/>
  <sheetData>
    <row r="1" spans="1:5" x14ac:dyDescent="0.3">
      <c r="A1" t="s">
        <v>0</v>
      </c>
      <c r="B1" t="s">
        <v>27</v>
      </c>
      <c r="C1" t="s">
        <v>40</v>
      </c>
      <c r="D1" t="s">
        <v>41</v>
      </c>
      <c r="E1" t="s">
        <v>29</v>
      </c>
    </row>
    <row r="2" spans="1:5" x14ac:dyDescent="0.3">
      <c r="A2" t="s">
        <v>4</v>
      </c>
      <c r="B2">
        <v>100</v>
      </c>
      <c r="C2">
        <v>0</v>
      </c>
      <c r="D2" t="b">
        <f>OR(B2&lt;$E$2,C2&gt;0)</f>
        <v>0</v>
      </c>
      <c r="E2">
        <v>100</v>
      </c>
    </row>
    <row r="3" spans="1:5" x14ac:dyDescent="0.3">
      <c r="A3" t="s">
        <v>5</v>
      </c>
      <c r="B3">
        <v>80</v>
      </c>
      <c r="C3">
        <v>10</v>
      </c>
      <c r="D3" t="b">
        <f t="shared" ref="D3:D4" si="0">OR(B3&lt;$E$2,C3&gt;0)</f>
        <v>1</v>
      </c>
    </row>
    <row r="4" spans="1:5" x14ac:dyDescent="0.3">
      <c r="A4" t="s">
        <v>6</v>
      </c>
      <c r="B4">
        <v>120</v>
      </c>
      <c r="C4">
        <v>50</v>
      </c>
      <c r="D4" t="b">
        <f t="shared" si="0"/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D7" sqref="D7"/>
    </sheetView>
  </sheetViews>
  <sheetFormatPr baseColWidth="10" defaultRowHeight="14.4" x14ac:dyDescent="0.3"/>
  <sheetData>
    <row r="1" spans="1:6" x14ac:dyDescent="0.3">
      <c r="A1" t="s">
        <v>42</v>
      </c>
      <c r="B1" t="s">
        <v>43</v>
      </c>
      <c r="C1" t="s">
        <v>44</v>
      </c>
      <c r="E1" t="s">
        <v>45</v>
      </c>
    </row>
    <row r="2" spans="1:6" x14ac:dyDescent="0.3">
      <c r="A2">
        <v>1</v>
      </c>
      <c r="B2">
        <v>1000</v>
      </c>
      <c r="C2" s="5">
        <f>IF(B2&lt;$E$2,$F$3,$F$4)</f>
        <v>2.5000000000000001E-2</v>
      </c>
      <c r="E2">
        <v>2000</v>
      </c>
    </row>
    <row r="3" spans="1:6" x14ac:dyDescent="0.3">
      <c r="A3">
        <v>2</v>
      </c>
      <c r="B3">
        <v>2500</v>
      </c>
      <c r="C3" s="5">
        <f t="shared" ref="C3:C4" si="0">IF(B3&lt;$E$2,$F$3,$F$4)</f>
        <v>2.1000000000000001E-2</v>
      </c>
      <c r="E3" t="s">
        <v>46</v>
      </c>
      <c r="F3" s="4">
        <v>2.5000000000000001E-2</v>
      </c>
    </row>
    <row r="4" spans="1:6" x14ac:dyDescent="0.3">
      <c r="A4">
        <v>3</v>
      </c>
      <c r="B4">
        <v>1500</v>
      </c>
      <c r="C4" s="5">
        <f t="shared" si="0"/>
        <v>2.5000000000000001E-2</v>
      </c>
      <c r="E4" t="s">
        <v>47</v>
      </c>
      <c r="F4" s="4">
        <v>2.1000000000000001E-2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10" sqref="C10"/>
    </sheetView>
  </sheetViews>
  <sheetFormatPr baseColWidth="10" defaultRowHeight="14.4" x14ac:dyDescent="0.3"/>
  <cols>
    <col min="1" max="1" width="7.109375" customWidth="1"/>
    <col min="2" max="2" width="15.21875" customWidth="1"/>
    <col min="3" max="3" width="12.88671875" customWidth="1"/>
  </cols>
  <sheetData>
    <row r="1" spans="1:6" x14ac:dyDescent="0.3">
      <c r="A1" t="s">
        <v>42</v>
      </c>
      <c r="B1" t="s">
        <v>48</v>
      </c>
      <c r="C1" t="s">
        <v>49</v>
      </c>
      <c r="D1" t="s">
        <v>52</v>
      </c>
      <c r="E1" t="s">
        <v>50</v>
      </c>
    </row>
    <row r="2" spans="1:6" x14ac:dyDescent="0.3">
      <c r="A2">
        <v>1</v>
      </c>
      <c r="B2" s="6">
        <v>250</v>
      </c>
      <c r="C2" s="6">
        <v>150</v>
      </c>
      <c r="D2" s="6">
        <f>SUM(B2:C2)</f>
        <v>400</v>
      </c>
      <c r="E2">
        <f>IF(D2&lt;$C$9,IF(C2&lt;B2,0,D2*2%),IF(D2&lt;$C$10,D2*3%,D2*5%))</f>
        <v>0</v>
      </c>
    </row>
    <row r="3" spans="1:6" x14ac:dyDescent="0.3">
      <c r="A3">
        <v>2</v>
      </c>
      <c r="B3" s="6">
        <v>150</v>
      </c>
      <c r="C3" s="6">
        <v>250</v>
      </c>
      <c r="D3" s="6">
        <f t="shared" ref="D3:D6" si="0">SUM(B3:C3)</f>
        <v>400</v>
      </c>
      <c r="E3">
        <f t="shared" ref="E3:E6" si="1">IF(D3&lt;$C$9,IF(C3&lt;B3,0,D3*2%),IF(D3&lt;$C$10,D3*3%,D3*5%))</f>
        <v>8</v>
      </c>
      <c r="F3" s="4"/>
    </row>
    <row r="4" spans="1:6" x14ac:dyDescent="0.3">
      <c r="A4">
        <v>3</v>
      </c>
      <c r="B4" s="6">
        <v>500</v>
      </c>
      <c r="C4" s="6">
        <v>500</v>
      </c>
      <c r="D4" s="6">
        <f t="shared" si="0"/>
        <v>1000</v>
      </c>
      <c r="E4">
        <f t="shared" si="1"/>
        <v>30</v>
      </c>
      <c r="F4" s="4"/>
    </row>
    <row r="5" spans="1:6" x14ac:dyDescent="0.3">
      <c r="A5">
        <v>4</v>
      </c>
      <c r="B5" s="6">
        <v>2100</v>
      </c>
      <c r="C5" s="6">
        <v>3000</v>
      </c>
      <c r="D5" s="6">
        <f t="shared" si="0"/>
        <v>5100</v>
      </c>
      <c r="E5">
        <f t="shared" si="1"/>
        <v>255</v>
      </c>
    </row>
    <row r="6" spans="1:6" x14ac:dyDescent="0.3">
      <c r="A6">
        <v>5</v>
      </c>
      <c r="B6" s="6">
        <v>5000</v>
      </c>
      <c r="C6" s="6">
        <v>6000</v>
      </c>
      <c r="D6" s="6">
        <f t="shared" si="0"/>
        <v>11000</v>
      </c>
      <c r="E6">
        <f t="shared" si="1"/>
        <v>550</v>
      </c>
    </row>
    <row r="8" spans="1:6" x14ac:dyDescent="0.3">
      <c r="B8" t="s">
        <v>51</v>
      </c>
      <c r="C8" s="6">
        <f>AVERAGE(B2:C6)</f>
        <v>1790</v>
      </c>
    </row>
    <row r="9" spans="1:6" x14ac:dyDescent="0.3">
      <c r="B9" t="s">
        <v>53</v>
      </c>
      <c r="C9" s="7">
        <f>C8*25%</f>
        <v>447.5</v>
      </c>
    </row>
    <row r="10" spans="1:6" x14ac:dyDescent="0.3">
      <c r="B10" t="s">
        <v>54</v>
      </c>
      <c r="C10" s="7">
        <f>C8*75%</f>
        <v>1342.5</v>
      </c>
    </row>
  </sheetData>
  <pageMargins left="0.7" right="0.7" top="0.75" bottom="0.75" header="0.3" footer="0.3"/>
  <ignoredErrors>
    <ignoredError sqref="D2 D3:D6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5" sqref="A1:C5"/>
    </sheetView>
  </sheetViews>
  <sheetFormatPr baseColWidth="10" defaultRowHeight="14.4" x14ac:dyDescent="0.3"/>
  <cols>
    <col min="1" max="1" width="5.44140625" bestFit="1" customWidth="1"/>
    <col min="2" max="2" width="13.44140625" bestFit="1" customWidth="1"/>
    <col min="3" max="3" width="9.77734375" bestFit="1" customWidth="1"/>
  </cols>
  <sheetData>
    <row r="1" spans="1:3" x14ac:dyDescent="0.3">
      <c r="A1" s="11" t="s">
        <v>55</v>
      </c>
      <c r="B1" s="11" t="s">
        <v>56</v>
      </c>
      <c r="C1" s="11" t="s">
        <v>57</v>
      </c>
    </row>
    <row r="2" spans="1:3" x14ac:dyDescent="0.3">
      <c r="A2" s="9">
        <v>1</v>
      </c>
      <c r="B2" s="9" t="s">
        <v>58</v>
      </c>
      <c r="C2" s="9" t="s">
        <v>61</v>
      </c>
    </row>
    <row r="3" spans="1:3" x14ac:dyDescent="0.3">
      <c r="A3" s="9">
        <v>2</v>
      </c>
      <c r="B3" s="9" t="s">
        <v>59</v>
      </c>
      <c r="C3" s="9" t="s">
        <v>62</v>
      </c>
    </row>
    <row r="4" spans="1:3" x14ac:dyDescent="0.3">
      <c r="A4" s="9">
        <v>3</v>
      </c>
      <c r="B4" s="9" t="s">
        <v>60</v>
      </c>
      <c r="C4" s="9" t="s">
        <v>63</v>
      </c>
    </row>
    <row r="5" spans="1:3" x14ac:dyDescent="0.3">
      <c r="A5" s="9">
        <v>4</v>
      </c>
      <c r="B5" s="9" t="s">
        <v>65</v>
      </c>
      <c r="C5" s="9" t="s">
        <v>64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" sqref="C2"/>
    </sheetView>
  </sheetViews>
  <sheetFormatPr baseColWidth="10" defaultRowHeight="14.4" x14ac:dyDescent="0.3"/>
  <cols>
    <col min="2" max="2" width="4" bestFit="1" customWidth="1"/>
    <col min="3" max="3" width="14" customWidth="1"/>
  </cols>
  <sheetData>
    <row r="1" spans="1:3" x14ac:dyDescent="0.3">
      <c r="A1" s="8" t="s">
        <v>66</v>
      </c>
      <c r="B1" s="9">
        <v>560</v>
      </c>
    </row>
    <row r="2" spans="1:3" x14ac:dyDescent="0.3">
      <c r="A2" s="8" t="s">
        <v>42</v>
      </c>
      <c r="B2" s="10">
        <v>8</v>
      </c>
      <c r="C2" s="9" t="e">
        <f>VLOOKUP(B2,Feuil16v!$A$2:$C$5,2,FALSE)</f>
        <v>#N/A</v>
      </c>
    </row>
    <row r="3" spans="1:3" x14ac:dyDescent="0.3">
      <c r="C3" s="9" t="e">
        <f>VLOOKUP(B2,Feuil16v!$A$2:$C$5,3,FALSE)</f>
        <v>#N/A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" sqref="C1"/>
    </sheetView>
  </sheetViews>
  <sheetFormatPr baseColWidth="10" defaultRowHeight="14.4" x14ac:dyDescent="0.3"/>
  <cols>
    <col min="1" max="1" width="13.21875" customWidth="1"/>
    <col min="2" max="2" width="10.6640625" bestFit="1" customWidth="1"/>
    <col min="3" max="3" width="13.44140625" bestFit="1" customWidth="1"/>
    <col min="4" max="4" width="12.77734375" bestFit="1" customWidth="1"/>
    <col min="5" max="5" width="11.33203125" bestFit="1" customWidth="1"/>
  </cols>
  <sheetData>
    <row r="1" spans="1:5" x14ac:dyDescent="0.3">
      <c r="A1" s="11" t="s">
        <v>55</v>
      </c>
      <c r="B1" s="12">
        <v>1</v>
      </c>
      <c r="C1" s="12">
        <v>2</v>
      </c>
      <c r="D1" s="12">
        <v>3</v>
      </c>
      <c r="E1" s="12">
        <v>4</v>
      </c>
    </row>
    <row r="2" spans="1:5" x14ac:dyDescent="0.3">
      <c r="A2" s="11" t="s">
        <v>56</v>
      </c>
      <c r="B2" s="9" t="s">
        <v>58</v>
      </c>
      <c r="C2" s="9" t="s">
        <v>59</v>
      </c>
      <c r="D2" s="9" t="s">
        <v>60</v>
      </c>
      <c r="E2" s="9" t="s">
        <v>65</v>
      </c>
    </row>
    <row r="3" spans="1:5" x14ac:dyDescent="0.3">
      <c r="A3" s="11" t="s">
        <v>57</v>
      </c>
      <c r="B3" s="9" t="s">
        <v>61</v>
      </c>
      <c r="C3" s="9" t="s">
        <v>62</v>
      </c>
      <c r="D3" s="9" t="s">
        <v>63</v>
      </c>
      <c r="E3" s="9" t="s">
        <v>64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C2" sqref="C2"/>
    </sheetView>
  </sheetViews>
  <sheetFormatPr baseColWidth="10" defaultRowHeight="14.4" x14ac:dyDescent="0.3"/>
  <cols>
    <col min="2" max="2" width="4" bestFit="1" customWidth="1"/>
    <col min="3" max="3" width="14" customWidth="1"/>
  </cols>
  <sheetData>
    <row r="1" spans="1:3" x14ac:dyDescent="0.3">
      <c r="A1" s="8" t="s">
        <v>66</v>
      </c>
      <c r="B1" s="9">
        <v>560</v>
      </c>
    </row>
    <row r="2" spans="1:3" x14ac:dyDescent="0.3">
      <c r="A2" s="8" t="s">
        <v>42</v>
      </c>
      <c r="B2" s="10">
        <v>9</v>
      </c>
      <c r="C2" s="9" t="e">
        <f>HLOOKUP(B2,Feuil16h!$B$1:$E$3,2,FALSE)</f>
        <v>#N/A</v>
      </c>
    </row>
    <row r="3" spans="1:3" x14ac:dyDescent="0.3">
      <c r="C3" s="9" t="e">
        <f>HLOOKUP(B2,Feuil16h!$B$1:$E$3,3,FALSE)</f>
        <v>#N/A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15" sqref="E15"/>
    </sheetView>
  </sheetViews>
  <sheetFormatPr baseColWidth="10" defaultRowHeight="14.4" x14ac:dyDescent="0.3"/>
  <cols>
    <col min="1" max="1" width="14.77734375" customWidth="1"/>
    <col min="2" max="2" width="15.88671875" customWidth="1"/>
    <col min="3" max="3" width="15.109375" customWidth="1"/>
  </cols>
  <sheetData>
    <row r="1" spans="1:3" x14ac:dyDescent="0.3">
      <c r="A1" t="s">
        <v>7</v>
      </c>
      <c r="B1" t="s">
        <v>8</v>
      </c>
      <c r="C1" t="s">
        <v>9</v>
      </c>
    </row>
    <row r="2" spans="1:3" x14ac:dyDescent="0.3">
      <c r="A2" t="s">
        <v>10</v>
      </c>
      <c r="B2" t="s">
        <v>11</v>
      </c>
      <c r="C2" t="str">
        <f>A2&amp;" "&amp;B2</f>
        <v>Dupont Jacques</v>
      </c>
    </row>
    <row r="3" spans="1:3" x14ac:dyDescent="0.3">
      <c r="A3" t="s">
        <v>12</v>
      </c>
      <c r="B3" t="s">
        <v>13</v>
      </c>
      <c r="C3" t="str">
        <f t="shared" ref="C3:C4" si="0">A3&amp;" "&amp;B3</f>
        <v>Lambert Lucien</v>
      </c>
    </row>
    <row r="4" spans="1:3" x14ac:dyDescent="0.3">
      <c r="A4" t="s">
        <v>14</v>
      </c>
      <c r="B4" t="s">
        <v>15</v>
      </c>
      <c r="C4" t="str">
        <f t="shared" si="0"/>
        <v>Durant Pierre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C5"/>
    </sheetView>
  </sheetViews>
  <sheetFormatPr baseColWidth="10" defaultRowHeight="14.4" x14ac:dyDescent="0.3"/>
  <sheetData>
    <row r="1" spans="1:3" x14ac:dyDescent="0.3">
      <c r="A1" s="11" t="s">
        <v>55</v>
      </c>
      <c r="B1" s="11" t="s">
        <v>56</v>
      </c>
      <c r="C1" s="11" t="s">
        <v>57</v>
      </c>
    </row>
    <row r="2" spans="1:3" x14ac:dyDescent="0.3">
      <c r="A2" s="9">
        <v>1</v>
      </c>
      <c r="B2" s="9" t="s">
        <v>58</v>
      </c>
      <c r="C2" s="9" t="s">
        <v>61</v>
      </c>
    </row>
    <row r="3" spans="1:3" x14ac:dyDescent="0.3">
      <c r="A3" s="9">
        <v>2</v>
      </c>
      <c r="B3" s="9" t="s">
        <v>59</v>
      </c>
      <c r="C3" s="9" t="s">
        <v>62</v>
      </c>
    </row>
    <row r="4" spans="1:3" x14ac:dyDescent="0.3">
      <c r="A4" s="9">
        <v>3</v>
      </c>
      <c r="B4" s="9" t="s">
        <v>60</v>
      </c>
      <c r="C4" s="9" t="s">
        <v>63</v>
      </c>
    </row>
    <row r="5" spans="1:3" x14ac:dyDescent="0.3">
      <c r="A5" s="9">
        <v>4</v>
      </c>
      <c r="B5" s="9" t="s">
        <v>65</v>
      </c>
      <c r="C5" s="9" t="s">
        <v>64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17" sqref="B17"/>
    </sheetView>
  </sheetViews>
  <sheetFormatPr baseColWidth="10" defaultRowHeight="14.4" x14ac:dyDescent="0.3"/>
  <sheetData>
    <row r="1" spans="1:3" x14ac:dyDescent="0.3">
      <c r="A1" s="8" t="s">
        <v>66</v>
      </c>
      <c r="B1" s="9">
        <v>560</v>
      </c>
    </row>
    <row r="2" spans="1:3" x14ac:dyDescent="0.3">
      <c r="A2" s="8" t="s">
        <v>42</v>
      </c>
      <c r="B2" s="10">
        <v>8</v>
      </c>
      <c r="C2" s="9" t="str">
        <f>LOOKUP(B2,Feuil16!$A$2:$A$5,Feuil16!B2:B5)</f>
        <v>CARPENTIER</v>
      </c>
    </row>
    <row r="3" spans="1:3" x14ac:dyDescent="0.3">
      <c r="C3" s="9" t="str">
        <f>LOOKUP(B2,Feuil16!$A$2:$A$5,Feuil16!C2:C5)</f>
        <v>St Omer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4" sqref="D4"/>
    </sheetView>
  </sheetViews>
  <sheetFormatPr baseColWidth="10" defaultRowHeight="14.4" x14ac:dyDescent="0.3"/>
  <sheetData>
    <row r="1" spans="1:4" x14ac:dyDescent="0.3">
      <c r="A1" t="s">
        <v>67</v>
      </c>
      <c r="B1" t="s">
        <v>68</v>
      </c>
      <c r="D1" t="s">
        <v>69</v>
      </c>
    </row>
    <row r="2" spans="1:4" x14ac:dyDescent="0.3">
      <c r="A2">
        <v>1</v>
      </c>
      <c r="B2" s="1">
        <v>0</v>
      </c>
      <c r="D2">
        <v>0</v>
      </c>
    </row>
    <row r="3" spans="1:4" x14ac:dyDescent="0.3">
      <c r="A3">
        <v>10</v>
      </c>
      <c r="B3" s="1">
        <v>0.01</v>
      </c>
      <c r="D3" t="s">
        <v>70</v>
      </c>
    </row>
    <row r="4" spans="1:4" x14ac:dyDescent="0.3">
      <c r="A4">
        <v>100</v>
      </c>
      <c r="B4" s="1">
        <v>0.04</v>
      </c>
      <c r="D4" s="13" t="e">
        <f>VLOOKUP(D2,$A$2:$B$6,2,TRUE)</f>
        <v>#N/A</v>
      </c>
    </row>
    <row r="5" spans="1:4" x14ac:dyDescent="0.3">
      <c r="A5">
        <v>500</v>
      </c>
      <c r="B5" s="1">
        <v>0.08</v>
      </c>
    </row>
    <row r="6" spans="1:4" x14ac:dyDescent="0.3">
      <c r="A6">
        <v>1000</v>
      </c>
      <c r="B6" s="1">
        <v>0.1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13" sqref="G13"/>
    </sheetView>
  </sheetViews>
  <sheetFormatPr baseColWidth="10" defaultRowHeight="14.4" x14ac:dyDescent="0.3"/>
  <sheetData>
    <row r="1" spans="1:6" x14ac:dyDescent="0.3">
      <c r="A1" s="9" t="s">
        <v>67</v>
      </c>
      <c r="B1" s="9" t="s">
        <v>68</v>
      </c>
      <c r="D1" s="9" t="s">
        <v>69</v>
      </c>
    </row>
    <row r="2" spans="1:6" x14ac:dyDescent="0.3">
      <c r="A2" s="9">
        <v>1</v>
      </c>
      <c r="B2" s="19">
        <v>0</v>
      </c>
      <c r="D2" s="9">
        <v>150</v>
      </c>
    </row>
    <row r="3" spans="1:6" x14ac:dyDescent="0.3">
      <c r="A3" s="9">
        <v>10</v>
      </c>
      <c r="B3" s="19">
        <v>0.01</v>
      </c>
      <c r="D3" s="9" t="s">
        <v>70</v>
      </c>
    </row>
    <row r="4" spans="1:6" x14ac:dyDescent="0.3">
      <c r="A4" s="9">
        <v>100</v>
      </c>
      <c r="B4" s="19">
        <v>0.04</v>
      </c>
      <c r="D4" s="20">
        <f>LOOKUP(D2,$A$2:$A$6,$B$2:$B$6)</f>
        <v>0.04</v>
      </c>
    </row>
    <row r="5" spans="1:6" x14ac:dyDescent="0.3">
      <c r="A5" s="9">
        <v>500</v>
      </c>
      <c r="B5" s="19">
        <v>0.08</v>
      </c>
    </row>
    <row r="6" spans="1:6" x14ac:dyDescent="0.3">
      <c r="A6" s="9">
        <v>1000</v>
      </c>
      <c r="B6" s="19">
        <v>0.1</v>
      </c>
    </row>
    <row r="9" spans="1:6" x14ac:dyDescent="0.3">
      <c r="A9" s="9" t="s">
        <v>67</v>
      </c>
      <c r="B9" s="9">
        <v>1</v>
      </c>
      <c r="C9" s="9">
        <v>10</v>
      </c>
      <c r="D9" s="9">
        <v>100</v>
      </c>
      <c r="E9" s="9">
        <v>500</v>
      </c>
      <c r="F9" s="9">
        <v>1000</v>
      </c>
    </row>
    <row r="10" spans="1:6" x14ac:dyDescent="0.3">
      <c r="A10" s="9" t="s">
        <v>68</v>
      </c>
      <c r="B10" s="19">
        <v>0</v>
      </c>
      <c r="C10" s="19">
        <v>0.01</v>
      </c>
      <c r="D10" s="19">
        <v>0.04</v>
      </c>
      <c r="E10" s="19">
        <v>0.08</v>
      </c>
      <c r="F10" s="19">
        <v>0.1</v>
      </c>
    </row>
    <row r="12" spans="1:6" x14ac:dyDescent="0.3">
      <c r="C12" s="9" t="s">
        <v>70</v>
      </c>
      <c r="D12" s="9"/>
      <c r="E12" s="9"/>
    </row>
    <row r="13" spans="1:6" x14ac:dyDescent="0.3">
      <c r="C13" s="20">
        <f>LOOKUP(D2,$B$9:$F$9,$B$10:$F$10)</f>
        <v>0.04</v>
      </c>
      <c r="D13" s="9"/>
      <c r="E13" s="20">
        <f>LOOKUP(D2,$B$9:$F$9,$B$2:$B$6)</f>
        <v>0.04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3" sqref="B3"/>
    </sheetView>
  </sheetViews>
  <sheetFormatPr baseColWidth="10" defaultRowHeight="14.4" x14ac:dyDescent="0.3"/>
  <cols>
    <col min="1" max="1" width="23.33203125" bestFit="1" customWidth="1"/>
    <col min="2" max="2" width="7.21875" bestFit="1" customWidth="1"/>
    <col min="3" max="3" width="12" bestFit="1" customWidth="1"/>
    <col min="4" max="4" width="12.6640625" bestFit="1" customWidth="1"/>
    <col min="5" max="5" width="15.21875" bestFit="1" customWidth="1"/>
  </cols>
  <sheetData>
    <row r="1" spans="1:7" x14ac:dyDescent="0.3">
      <c r="C1" s="42" t="s">
        <v>85</v>
      </c>
      <c r="D1" s="42"/>
      <c r="E1" s="42"/>
      <c r="F1" s="42"/>
      <c r="G1" s="42"/>
    </row>
    <row r="2" spans="1:7" x14ac:dyDescent="0.3">
      <c r="B2" s="14" t="s">
        <v>72</v>
      </c>
      <c r="C2" s="14" t="s">
        <v>86</v>
      </c>
      <c r="D2" s="14" t="s">
        <v>87</v>
      </c>
      <c r="E2" s="14" t="s">
        <v>88</v>
      </c>
      <c r="F2" s="14" t="s">
        <v>89</v>
      </c>
      <c r="G2" s="14" t="s">
        <v>91</v>
      </c>
    </row>
    <row r="3" spans="1:7" x14ac:dyDescent="0.3">
      <c r="A3" s="3" t="s">
        <v>75</v>
      </c>
      <c r="B3" s="15"/>
      <c r="C3" s="9" t="b">
        <f>ISNUMBER(B3)</f>
        <v>0</v>
      </c>
      <c r="D3" s="9" t="b">
        <f>ISTEXT(B3)</f>
        <v>0</v>
      </c>
      <c r="E3" s="9" t="b">
        <f>ISLOGICAL(B3)</f>
        <v>0</v>
      </c>
      <c r="F3" s="9" t="b">
        <f>ISBLANK(B3)</f>
        <v>1</v>
      </c>
      <c r="G3" s="12">
        <f>LEN(B3)</f>
        <v>0</v>
      </c>
    </row>
    <row r="4" spans="1:7" x14ac:dyDescent="0.3">
      <c r="A4" s="3" t="s">
        <v>76</v>
      </c>
      <c r="B4" s="15" t="s">
        <v>73</v>
      </c>
      <c r="C4" s="9" t="b">
        <f t="shared" ref="C4:C11" si="0">ISNUMBER(B4)</f>
        <v>0</v>
      </c>
      <c r="D4" s="9" t="b">
        <f t="shared" ref="D4:D11" si="1">ISTEXT(B4)</f>
        <v>1</v>
      </c>
      <c r="E4" s="9" t="b">
        <f t="shared" ref="E4:E11" si="2">ISLOGICAL(B4)</f>
        <v>0</v>
      </c>
      <c r="F4" s="9" t="b">
        <f t="shared" ref="F4:F13" si="3">ISBLANK(B4)</f>
        <v>0</v>
      </c>
      <c r="G4" s="12">
        <f t="shared" ref="G4:G13" si="4">LEN(B4)</f>
        <v>1</v>
      </c>
    </row>
    <row r="5" spans="1:7" x14ac:dyDescent="0.3">
      <c r="A5" s="3" t="s">
        <v>79</v>
      </c>
      <c r="B5" s="15" t="s">
        <v>74</v>
      </c>
      <c r="C5" s="9" t="b">
        <f t="shared" si="0"/>
        <v>0</v>
      </c>
      <c r="D5" s="9" t="b">
        <f t="shared" si="1"/>
        <v>1</v>
      </c>
      <c r="E5" s="9" t="b">
        <f t="shared" si="2"/>
        <v>0</v>
      </c>
      <c r="F5" s="9" t="b">
        <f t="shared" si="3"/>
        <v>0</v>
      </c>
      <c r="G5" s="12">
        <f t="shared" si="4"/>
        <v>1</v>
      </c>
    </row>
    <row r="6" spans="1:7" x14ac:dyDescent="0.3">
      <c r="A6" s="3" t="s">
        <v>80</v>
      </c>
      <c r="B6" s="15">
        <v>0</v>
      </c>
      <c r="C6" s="9" t="b">
        <f t="shared" ref="C6" si="5">ISNUMBER(B6)</f>
        <v>1</v>
      </c>
      <c r="D6" s="9" t="b">
        <f t="shared" ref="D6" si="6">ISTEXT(B6)</f>
        <v>0</v>
      </c>
      <c r="E6" s="9" t="b">
        <f t="shared" ref="E6" si="7">ISLOGICAL(B6)</f>
        <v>0</v>
      </c>
      <c r="F6" s="9" t="b">
        <f t="shared" si="3"/>
        <v>0</v>
      </c>
      <c r="G6" s="12">
        <f t="shared" si="4"/>
        <v>1</v>
      </c>
    </row>
    <row r="7" spans="1:7" x14ac:dyDescent="0.3">
      <c r="A7" s="3" t="s">
        <v>84</v>
      </c>
      <c r="B7" s="15">
        <v>2014</v>
      </c>
      <c r="C7" s="9" t="b">
        <f t="shared" si="0"/>
        <v>1</v>
      </c>
      <c r="D7" s="9" t="b">
        <f t="shared" si="1"/>
        <v>0</v>
      </c>
      <c r="E7" s="9" t="b">
        <f t="shared" si="2"/>
        <v>0</v>
      </c>
      <c r="F7" s="9" t="b">
        <f t="shared" si="3"/>
        <v>0</v>
      </c>
      <c r="G7" s="12">
        <f t="shared" si="4"/>
        <v>4</v>
      </c>
    </row>
    <row r="8" spans="1:7" x14ac:dyDescent="0.3">
      <c r="A8" s="3" t="s">
        <v>92</v>
      </c>
      <c r="B8" s="16">
        <v>0.2</v>
      </c>
      <c r="C8" s="9" t="b">
        <f t="shared" si="0"/>
        <v>1</v>
      </c>
      <c r="D8" s="9" t="b">
        <f t="shared" si="1"/>
        <v>0</v>
      </c>
      <c r="E8" s="9" t="b">
        <f t="shared" si="2"/>
        <v>0</v>
      </c>
      <c r="F8" s="9" t="b">
        <f t="shared" si="3"/>
        <v>0</v>
      </c>
      <c r="G8" s="12">
        <f t="shared" si="4"/>
        <v>3</v>
      </c>
    </row>
    <row r="9" spans="1:7" x14ac:dyDescent="0.3">
      <c r="A9" s="3" t="s">
        <v>81</v>
      </c>
      <c r="B9" s="15" t="s">
        <v>71</v>
      </c>
      <c r="C9" s="9" t="b">
        <f t="shared" si="0"/>
        <v>0</v>
      </c>
      <c r="D9" s="9" t="b">
        <f t="shared" si="1"/>
        <v>1</v>
      </c>
      <c r="E9" s="9" t="b">
        <f t="shared" si="2"/>
        <v>0</v>
      </c>
      <c r="F9" s="9" t="b">
        <f t="shared" si="3"/>
        <v>0</v>
      </c>
      <c r="G9" s="12">
        <f t="shared" si="4"/>
        <v>1</v>
      </c>
    </row>
    <row r="10" spans="1:7" x14ac:dyDescent="0.3">
      <c r="A10" s="3" t="s">
        <v>82</v>
      </c>
      <c r="B10" s="15" t="b">
        <v>1</v>
      </c>
      <c r="C10" s="9" t="b">
        <f t="shared" si="0"/>
        <v>0</v>
      </c>
      <c r="D10" s="9" t="b">
        <f t="shared" si="1"/>
        <v>0</v>
      </c>
      <c r="E10" s="9" t="b">
        <f t="shared" si="2"/>
        <v>1</v>
      </c>
      <c r="F10" s="9" t="b">
        <f t="shared" si="3"/>
        <v>0</v>
      </c>
      <c r="G10" s="12">
        <f t="shared" si="4"/>
        <v>4</v>
      </c>
    </row>
    <row r="11" spans="1:7" x14ac:dyDescent="0.3">
      <c r="A11" s="3" t="s">
        <v>83</v>
      </c>
      <c r="B11" s="15" t="b">
        <v>0</v>
      </c>
      <c r="C11" s="9" t="b">
        <f t="shared" si="0"/>
        <v>0</v>
      </c>
      <c r="D11" s="9" t="b">
        <f t="shared" si="1"/>
        <v>0</v>
      </c>
      <c r="E11" s="9" t="b">
        <f t="shared" si="2"/>
        <v>1</v>
      </c>
      <c r="F11" s="9" t="b">
        <f t="shared" si="3"/>
        <v>0</v>
      </c>
      <c r="G11" s="12">
        <f t="shared" si="4"/>
        <v>4</v>
      </c>
    </row>
    <row r="12" spans="1:7" x14ac:dyDescent="0.3">
      <c r="A12" s="3" t="s">
        <v>78</v>
      </c>
      <c r="B12" s="17" t="s">
        <v>77</v>
      </c>
      <c r="C12" s="9" t="b">
        <f t="shared" ref="C12" si="8">ISNUMBER(B12)</f>
        <v>0</v>
      </c>
      <c r="D12" s="9" t="b">
        <f t="shared" ref="D12" si="9">ISTEXT(B12)</f>
        <v>1</v>
      </c>
      <c r="E12" s="9" t="b">
        <f t="shared" ref="E12" si="10">ISLOGICAL(B12)</f>
        <v>0</v>
      </c>
      <c r="F12" s="9" t="b">
        <f t="shared" si="3"/>
        <v>0</v>
      </c>
      <c r="G12" s="12">
        <f t="shared" si="4"/>
        <v>4</v>
      </c>
    </row>
    <row r="13" spans="1:7" x14ac:dyDescent="0.3">
      <c r="A13" s="3" t="s">
        <v>90</v>
      </c>
      <c r="B13" s="17" t="str">
        <f>IF(1=1,"","")</f>
        <v/>
      </c>
      <c r="C13" s="9" t="b">
        <f t="shared" ref="C13" si="11">ISNUMBER(B13)</f>
        <v>0</v>
      </c>
      <c r="D13" s="9" t="b">
        <f t="shared" ref="D13" si="12">ISTEXT(B13)</f>
        <v>1</v>
      </c>
      <c r="E13" s="9" t="b">
        <f t="shared" ref="E13" si="13">ISLOGICAL(B13)</f>
        <v>0</v>
      </c>
      <c r="F13" s="9" t="b">
        <f t="shared" si="3"/>
        <v>0</v>
      </c>
      <c r="G13" s="12">
        <f t="shared" si="4"/>
        <v>0</v>
      </c>
    </row>
    <row r="14" spans="1:7" x14ac:dyDescent="0.3">
      <c r="A14" t="s">
        <v>93</v>
      </c>
      <c r="B14" s="18">
        <v>0.2</v>
      </c>
      <c r="C14" s="9" t="b">
        <f t="shared" ref="C14" si="14">ISNUMBER(B14)</f>
        <v>1</v>
      </c>
      <c r="D14" s="9" t="b">
        <f t="shared" ref="D14" si="15">ISTEXT(B14)</f>
        <v>0</v>
      </c>
      <c r="E14" s="9" t="b">
        <f t="shared" ref="E14" si="16">ISLOGICAL(B14)</f>
        <v>0</v>
      </c>
      <c r="F14" s="9" t="b">
        <f t="shared" ref="F14" si="17">ISBLANK(B14)</f>
        <v>0</v>
      </c>
      <c r="G14" s="12">
        <f t="shared" ref="G14" si="18">LEN(B14)</f>
        <v>3</v>
      </c>
    </row>
    <row r="17" spans="1:3" x14ac:dyDescent="0.3">
      <c r="A17" s="3" t="s">
        <v>94</v>
      </c>
      <c r="B17" s="15" t="s">
        <v>95</v>
      </c>
      <c r="C17" t="str">
        <f>IF(ISNUMBER(B17),"ok","erreur : un nombre est attendu")</f>
        <v>erreur : un nombre est attendu</v>
      </c>
    </row>
  </sheetData>
  <mergeCells count="1">
    <mergeCell ref="C1:G1"/>
  </mergeCells>
  <conditionalFormatting sqref="C3:F14">
    <cfRule type="cellIs" dxfId="2" priority="1" operator="equal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2" sqref="D2"/>
    </sheetView>
  </sheetViews>
  <sheetFormatPr baseColWidth="10" defaultRowHeight="14.4" x14ac:dyDescent="0.3"/>
  <cols>
    <col min="1" max="1" width="16.21875" customWidth="1"/>
    <col min="2" max="2" width="17.77734375" bestFit="1" customWidth="1"/>
    <col min="4" max="4" width="12.44140625" customWidth="1"/>
  </cols>
  <sheetData>
    <row r="1" spans="1:4" x14ac:dyDescent="0.3">
      <c r="A1" s="14" t="s">
        <v>96</v>
      </c>
      <c r="B1" s="14" t="s">
        <v>98</v>
      </c>
      <c r="C1" s="14" t="s">
        <v>99</v>
      </c>
      <c r="D1" s="23" t="s">
        <v>97</v>
      </c>
    </row>
    <row r="2" spans="1:4" x14ac:dyDescent="0.3">
      <c r="A2" s="21">
        <v>1000</v>
      </c>
      <c r="B2" s="9">
        <v>20</v>
      </c>
      <c r="C2" s="22">
        <f>A2/B2</f>
        <v>50</v>
      </c>
      <c r="D2" s="9" t="b">
        <f>ISERROR(A2/B2)</f>
        <v>0</v>
      </c>
    </row>
    <row r="3" spans="1:4" x14ac:dyDescent="0.3">
      <c r="A3" s="21">
        <v>250</v>
      </c>
      <c r="B3" s="9">
        <v>35</v>
      </c>
      <c r="C3" s="22">
        <f>A3/B3</f>
        <v>7.1428571428571432</v>
      </c>
      <c r="D3" s="9" t="b">
        <f>ISERROR(A3/B3)</f>
        <v>0</v>
      </c>
    </row>
    <row r="4" spans="1:4" x14ac:dyDescent="0.3">
      <c r="A4" s="21">
        <v>300</v>
      </c>
      <c r="B4" s="9"/>
      <c r="C4" s="22" t="e">
        <f>A4/B4</f>
        <v>#DIV/0!</v>
      </c>
      <c r="D4" s="9" t="b">
        <f>ISERROR(A4/B4)</f>
        <v>1</v>
      </c>
    </row>
    <row r="5" spans="1:4" x14ac:dyDescent="0.3">
      <c r="A5" s="21">
        <v>600</v>
      </c>
      <c r="B5" s="9">
        <v>28</v>
      </c>
      <c r="C5" s="22">
        <f>A5/B5</f>
        <v>21.428571428571427</v>
      </c>
      <c r="D5" s="9" t="b">
        <f>ISERROR(A5/B5)</f>
        <v>0</v>
      </c>
    </row>
  </sheetData>
  <conditionalFormatting sqref="D2:D5">
    <cfRule type="cellIs" dxfId="1" priority="1" operator="equal">
      <formula>TRUE</formula>
    </cfRule>
  </conditionalFormatting>
  <pageMargins left="0.7" right="0.7" top="0.75" bottom="0.75" header="0.3" footer="0.3"/>
  <ignoredErrors>
    <ignoredError sqref="C4" evalError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selection activeCell="B4" sqref="B4"/>
    </sheetView>
  </sheetViews>
  <sheetFormatPr baseColWidth="10" defaultRowHeight="14.4" x14ac:dyDescent="0.3"/>
  <cols>
    <col min="1" max="1" width="5" bestFit="1" customWidth="1"/>
    <col min="2" max="2" width="21.44140625" customWidth="1"/>
    <col min="3" max="3" width="10.21875" customWidth="1"/>
    <col min="4" max="4" width="14.88671875" customWidth="1"/>
    <col min="5" max="5" width="23.44140625" customWidth="1"/>
    <col min="6" max="6" width="8.109375" customWidth="1"/>
    <col min="8" max="8" width="5.109375" customWidth="1"/>
    <col min="9" max="9" width="23.33203125" customWidth="1"/>
    <col min="10" max="10" width="5.33203125" customWidth="1"/>
    <col min="11" max="11" width="23.5546875" customWidth="1"/>
    <col min="12" max="12" width="3.6640625" customWidth="1"/>
    <col min="14" max="14" width="15.6640625" customWidth="1"/>
    <col min="15" max="15" width="3" customWidth="1"/>
    <col min="17" max="17" width="16" customWidth="1"/>
    <col min="18" max="18" width="3.109375" customWidth="1"/>
    <col min="20" max="20" width="23.109375" bestFit="1" customWidth="1"/>
  </cols>
  <sheetData>
    <row r="1" spans="1:20" ht="28.8" x14ac:dyDescent="0.3">
      <c r="A1" s="26" t="s">
        <v>108</v>
      </c>
      <c r="C1" s="26" t="s">
        <v>112</v>
      </c>
      <c r="D1" s="26" t="s">
        <v>114</v>
      </c>
      <c r="E1" s="27" t="s">
        <v>138</v>
      </c>
      <c r="F1" s="26" t="s">
        <v>109</v>
      </c>
      <c r="G1" s="26" t="s">
        <v>115</v>
      </c>
      <c r="H1" s="43" t="s">
        <v>131</v>
      </c>
      <c r="I1" s="44"/>
      <c r="J1" s="43" t="s">
        <v>132</v>
      </c>
      <c r="K1" s="44"/>
      <c r="M1" s="25" t="s">
        <v>111</v>
      </c>
      <c r="P1" s="25" t="s">
        <v>110</v>
      </c>
      <c r="S1" s="25" t="s">
        <v>118</v>
      </c>
    </row>
    <row r="2" spans="1:20" x14ac:dyDescent="0.3">
      <c r="A2" s="9">
        <v>6500</v>
      </c>
      <c r="B2" s="28" t="s">
        <v>140</v>
      </c>
      <c r="C2" s="15" t="s">
        <v>116</v>
      </c>
      <c r="D2" s="9" t="str">
        <f t="shared" ref="D2:D7" si="0">VLOOKUP(C2,TAB_COMPAGNIES,2,FALSE)</f>
        <v>Air France</v>
      </c>
      <c r="E2" s="9" t="b">
        <f t="shared" ref="E2:E7" si="1">ISNA(VLOOKUP(C2,TAB_COMPAGNIES,2,FALSE))</f>
        <v>0</v>
      </c>
      <c r="F2" s="15" t="s">
        <v>104</v>
      </c>
      <c r="G2" s="9" t="str">
        <f t="shared" ref="G2:G7" si="2">VLOOKUP(F2,TAB_AVIONS,2,FALSE)</f>
        <v>Airbus A320 Neo</v>
      </c>
      <c r="H2" s="15" t="s">
        <v>133</v>
      </c>
      <c r="I2" s="9" t="e">
        <f t="shared" ref="I2:I7" si="3">VLOOKUP(H2,TAB_AEROPORTS,2,FALSE)</f>
        <v>#N/A</v>
      </c>
      <c r="J2" s="15" t="s">
        <v>119</v>
      </c>
      <c r="K2" s="9" t="str">
        <f t="shared" ref="K2:K7" si="4">VLOOKUP(J2,TAB_AEROPORTS,2,FALSE)</f>
        <v>Londres Heathrow, GB</v>
      </c>
      <c r="M2" s="24" t="s">
        <v>100</v>
      </c>
      <c r="N2" s="24" t="s">
        <v>101</v>
      </c>
      <c r="P2" s="24" t="s">
        <v>100</v>
      </c>
      <c r="Q2" s="24" t="s">
        <v>101</v>
      </c>
      <c r="S2" s="24" t="s">
        <v>100</v>
      </c>
      <c r="T2" s="24" t="s">
        <v>101</v>
      </c>
    </row>
    <row r="3" spans="1:20" x14ac:dyDescent="0.3">
      <c r="A3" s="9">
        <v>1258</v>
      </c>
      <c r="B3" s="28" t="s">
        <v>141</v>
      </c>
      <c r="C3" s="15" t="s">
        <v>137</v>
      </c>
      <c r="D3" s="9" t="str">
        <f t="shared" si="0"/>
        <v>Air France</v>
      </c>
      <c r="E3" s="9" t="b">
        <f t="shared" si="1"/>
        <v>0</v>
      </c>
      <c r="F3" s="15" t="s">
        <v>102</v>
      </c>
      <c r="G3" s="9" t="str">
        <f t="shared" si="2"/>
        <v>Airbus A380</v>
      </c>
      <c r="H3" s="15" t="s">
        <v>119</v>
      </c>
      <c r="I3" s="9" t="str">
        <f t="shared" si="3"/>
        <v>Londres Heathrow, GB</v>
      </c>
      <c r="J3" s="15" t="s">
        <v>134</v>
      </c>
      <c r="K3" s="9" t="str">
        <f t="shared" si="4"/>
        <v>Pearson Toronto, CA</v>
      </c>
      <c r="M3" s="9" t="s">
        <v>116</v>
      </c>
      <c r="N3" s="9" t="s">
        <v>117</v>
      </c>
      <c r="P3" s="9" t="s">
        <v>104</v>
      </c>
      <c r="Q3" s="9" t="s">
        <v>105</v>
      </c>
      <c r="S3" s="9" t="s">
        <v>119</v>
      </c>
      <c r="T3" s="9" t="s">
        <v>120</v>
      </c>
    </row>
    <row r="4" spans="1:20" x14ac:dyDescent="0.3">
      <c r="A4" s="9">
        <v>6250</v>
      </c>
      <c r="B4" s="28" t="s">
        <v>142</v>
      </c>
      <c r="C4" s="15" t="s">
        <v>139</v>
      </c>
      <c r="D4" s="9" t="e">
        <f t="shared" si="0"/>
        <v>#N/A</v>
      </c>
      <c r="E4" s="9" t="b">
        <f t="shared" si="1"/>
        <v>1</v>
      </c>
      <c r="F4" s="15" t="s">
        <v>106</v>
      </c>
      <c r="G4" s="9" t="str">
        <f t="shared" si="2"/>
        <v>Boeing 787</v>
      </c>
      <c r="H4" s="15" t="s">
        <v>123</v>
      </c>
      <c r="I4" s="9" t="str">
        <f t="shared" si="3"/>
        <v>Bruxelles-Zaventem, BE</v>
      </c>
      <c r="J4" s="15" t="s">
        <v>134</v>
      </c>
      <c r="K4" s="9" t="str">
        <f t="shared" si="4"/>
        <v>Pearson Toronto, CA</v>
      </c>
      <c r="M4" s="9" t="s">
        <v>125</v>
      </c>
      <c r="N4" s="9" t="s">
        <v>126</v>
      </c>
      <c r="P4" s="9" t="s">
        <v>106</v>
      </c>
      <c r="Q4" s="9" t="s">
        <v>107</v>
      </c>
      <c r="S4" s="9" t="s">
        <v>121</v>
      </c>
      <c r="T4" s="9" t="s">
        <v>122</v>
      </c>
    </row>
    <row r="5" spans="1:20" x14ac:dyDescent="0.3">
      <c r="A5" s="9">
        <v>3620</v>
      </c>
      <c r="B5" s="28" t="s">
        <v>140</v>
      </c>
      <c r="C5" s="15" t="s">
        <v>125</v>
      </c>
      <c r="D5" s="9" t="str">
        <f t="shared" si="0"/>
        <v>British Airways</v>
      </c>
      <c r="E5" s="9" t="b">
        <f t="shared" si="1"/>
        <v>0</v>
      </c>
      <c r="F5" s="15" t="s">
        <v>136</v>
      </c>
      <c r="G5" s="9" t="e">
        <f t="shared" si="2"/>
        <v>#N/A</v>
      </c>
      <c r="H5" s="15" t="s">
        <v>134</v>
      </c>
      <c r="I5" s="9" t="str">
        <f t="shared" si="3"/>
        <v>Pearson Toronto, CA</v>
      </c>
      <c r="J5" s="15" t="s">
        <v>121</v>
      </c>
      <c r="K5" s="9" t="str">
        <f t="shared" si="4"/>
        <v>Paris-Charles-de-Gaulle, FR</v>
      </c>
      <c r="M5" s="9" t="s">
        <v>127</v>
      </c>
      <c r="N5" s="9" t="s">
        <v>128</v>
      </c>
      <c r="P5" s="9" t="s">
        <v>102</v>
      </c>
      <c r="Q5" s="9" t="s">
        <v>103</v>
      </c>
      <c r="S5" s="9" t="s">
        <v>134</v>
      </c>
      <c r="T5" s="9" t="s">
        <v>135</v>
      </c>
    </row>
    <row r="6" spans="1:20" x14ac:dyDescent="0.3">
      <c r="A6" s="9">
        <v>6000</v>
      </c>
      <c r="B6" s="28" t="s">
        <v>144</v>
      </c>
      <c r="C6" s="15" t="s">
        <v>143</v>
      </c>
      <c r="D6" s="9" t="e">
        <f t="shared" si="0"/>
        <v>#N/A</v>
      </c>
      <c r="E6" s="9" t="b">
        <f t="shared" si="1"/>
        <v>1</v>
      </c>
      <c r="F6" s="15" t="s">
        <v>106</v>
      </c>
      <c r="G6" s="9" t="str">
        <f t="shared" si="2"/>
        <v>Boeing 787</v>
      </c>
      <c r="H6" s="15" t="s">
        <v>121</v>
      </c>
      <c r="I6" s="9" t="str">
        <f t="shared" si="3"/>
        <v>Paris-Charles-de-Gaulle, FR</v>
      </c>
      <c r="J6" s="15" t="s">
        <v>123</v>
      </c>
      <c r="K6" s="9" t="str">
        <f t="shared" si="4"/>
        <v>Bruxelles-Zaventem, BE</v>
      </c>
      <c r="M6" s="9" t="s">
        <v>129</v>
      </c>
      <c r="N6" s="9" t="s">
        <v>130</v>
      </c>
      <c r="S6" s="9" t="s">
        <v>123</v>
      </c>
      <c r="T6" s="9" t="s">
        <v>124</v>
      </c>
    </row>
    <row r="7" spans="1:20" x14ac:dyDescent="0.3">
      <c r="A7" s="9">
        <v>2500</v>
      </c>
      <c r="B7" s="28" t="s">
        <v>145</v>
      </c>
      <c r="C7" s="15"/>
      <c r="D7" s="9" t="e">
        <f t="shared" si="0"/>
        <v>#N/A</v>
      </c>
      <c r="E7" s="9" t="b">
        <f t="shared" si="1"/>
        <v>1</v>
      </c>
      <c r="F7" s="15" t="s">
        <v>102</v>
      </c>
      <c r="G7" s="9" t="str">
        <f t="shared" si="2"/>
        <v>Airbus A380</v>
      </c>
      <c r="H7" s="15" t="s">
        <v>119</v>
      </c>
      <c r="I7" s="9" t="str">
        <f t="shared" si="3"/>
        <v>Londres Heathrow, GB</v>
      </c>
      <c r="J7" s="15" t="s">
        <v>123</v>
      </c>
      <c r="K7" s="9" t="str">
        <f t="shared" si="4"/>
        <v>Bruxelles-Zaventem, BE</v>
      </c>
    </row>
  </sheetData>
  <mergeCells count="2">
    <mergeCell ref="H1:I1"/>
    <mergeCell ref="J1:K1"/>
  </mergeCells>
  <conditionalFormatting sqref="E2:E7">
    <cfRule type="cellIs" dxfId="0" priority="1" operator="equal">
      <formula>TRUE</formula>
    </cfRule>
  </conditionalFormatting>
  <pageMargins left="0.7" right="0.7" top="0.75" bottom="0.75" header="0.3" footer="0.3"/>
  <ignoredErrors>
    <ignoredError sqref="I2 D4:D7 I6" evalError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D8" sqref="D8"/>
    </sheetView>
  </sheetViews>
  <sheetFormatPr baseColWidth="10" defaultRowHeight="14.4" x14ac:dyDescent="0.3"/>
  <cols>
    <col min="3" max="3" width="13.33203125" customWidth="1"/>
    <col min="5" max="5" width="8.5546875" customWidth="1"/>
    <col min="6" max="6" width="17.44140625" customWidth="1"/>
    <col min="11" max="11" width="2.88671875" customWidth="1"/>
    <col min="13" max="13" width="12.77734375" customWidth="1"/>
    <col min="15" max="15" width="17.44140625" customWidth="1"/>
  </cols>
  <sheetData>
    <row r="1" spans="1:15" x14ac:dyDescent="0.3">
      <c r="A1" s="25" t="s">
        <v>167</v>
      </c>
      <c r="G1" s="25" t="s">
        <v>148</v>
      </c>
      <c r="L1" s="25" t="s">
        <v>150</v>
      </c>
      <c r="O1" s="8" t="s">
        <v>168</v>
      </c>
    </row>
    <row r="2" spans="1:15" x14ac:dyDescent="0.3">
      <c r="A2" s="8" t="s">
        <v>146</v>
      </c>
      <c r="B2" s="8" t="s">
        <v>7</v>
      </c>
      <c r="C2" s="8" t="s">
        <v>147</v>
      </c>
      <c r="D2" s="8" t="s">
        <v>163</v>
      </c>
      <c r="E2" s="11" t="s">
        <v>165</v>
      </c>
      <c r="G2" s="8" t="s">
        <v>146</v>
      </c>
      <c r="H2" s="8" t="s">
        <v>113</v>
      </c>
      <c r="I2" s="8" t="s">
        <v>151</v>
      </c>
      <c r="J2" s="8" t="s">
        <v>149</v>
      </c>
      <c r="L2" s="8" t="s">
        <v>149</v>
      </c>
      <c r="M2" s="8" t="s">
        <v>147</v>
      </c>
      <c r="O2" s="9" t="s">
        <v>169</v>
      </c>
    </row>
    <row r="3" spans="1:15" x14ac:dyDescent="0.3">
      <c r="A3" s="9">
        <v>1000</v>
      </c>
      <c r="B3" s="9" t="str">
        <f>IF(ISBLANK(A3),"",IF(ISNA(VLOOKUP(A3,TAB_PERSONNEL,2,FALSE)),INDIC_ERREUR,VLOOKUP(A3,TAB_PERSONNEL,3,FALSE)&amp;" "&amp;VLOOKUP(A3,TAB_PERSONNEL,2,FALSE)))</f>
        <v>*erreur*</v>
      </c>
      <c r="C3" s="21" t="str">
        <f>IF(ISBLANK(A3),"",IF(ISNA(VLOOKUP(A3,TAB_PERSONNEL,1,FALSE)),INDIC_ERREUR,IF(ISNA(VLOOKUP(VLOOKUP(A3,TAB_PERSONNEL,4,FALSE),TAB_EMPLOI,2,FALSE)),INDIC_ERREUR&amp;" sur fiche",VLOOKUP(VLOOKUP(A3,TAB_PERSONNEL,4,FALSE),TAB_EMPLOI,2,FALSE))))</f>
        <v>*erreur*</v>
      </c>
      <c r="D3" s="21">
        <v>300</v>
      </c>
      <c r="E3" s="12">
        <f>COUNTIF(A3:D3,"="&amp;"*"&amp;INDIC_ERREUR&amp;"*")</f>
        <v>2</v>
      </c>
      <c r="G3" s="9">
        <v>1010</v>
      </c>
      <c r="H3" s="9" t="s">
        <v>152</v>
      </c>
      <c r="I3" s="9" t="s">
        <v>153</v>
      </c>
      <c r="J3" s="9" t="s">
        <v>170</v>
      </c>
      <c r="L3" s="9" t="s">
        <v>154</v>
      </c>
      <c r="M3" s="21">
        <v>1500</v>
      </c>
    </row>
    <row r="4" spans="1:15" x14ac:dyDescent="0.3">
      <c r="A4" s="9">
        <v>1020</v>
      </c>
      <c r="B4" s="9" t="str">
        <f>IF(ISBLANK(A4),"",IF(ISNA(VLOOKUP(A4,TAB_PERSONNEL,2,FALSE)),INDIC_ERREUR,VLOOKUP(A4,TAB_PERSONNEL,3,FALSE)&amp;" "&amp;VLOOKUP(A4,TAB_PERSONNEL,2,FALSE)))</f>
        <v>Inès Perret</v>
      </c>
      <c r="C4" s="21">
        <f>IF(ISBLANK(A4),"",IF(ISNA(VLOOKUP(A4,TAB_PERSONNEL,1,FALSE)),INDIC_ERREUR,IF(ISNA(VLOOKUP(VLOOKUP(A4,TAB_PERSONNEL,4,FALSE),TAB_EMPLOI,2,FALSE)),INDIC_ERREUR&amp;"fiche",VLOOKUP(VLOOKUP(A4,TAB_PERSONNEL,4,FALSE),TAB_EMPLOI,2,FALSE))))</f>
        <v>1600</v>
      </c>
      <c r="D4" s="21">
        <v>200</v>
      </c>
      <c r="E4" s="12">
        <f>COUNTIF(A4:D4,"="&amp;"*"&amp;INDIC_ERREUR&amp;"*")</f>
        <v>0</v>
      </c>
      <c r="G4" s="9">
        <v>1020</v>
      </c>
      <c r="H4" s="9" t="s">
        <v>157</v>
      </c>
      <c r="I4" s="9" t="s">
        <v>158</v>
      </c>
      <c r="J4" s="9" t="s">
        <v>155</v>
      </c>
      <c r="L4" s="9" t="s">
        <v>155</v>
      </c>
      <c r="M4" s="21">
        <v>1600</v>
      </c>
    </row>
    <row r="5" spans="1:15" x14ac:dyDescent="0.3">
      <c r="A5" s="9">
        <v>1010</v>
      </c>
      <c r="B5" s="9" t="str">
        <f>IF(ISBLANK(A5),"",IF(ISNA(VLOOKUP(A5,TAB_PERSONNEL,2,FALSE)),INDIC_ERREUR,VLOOKUP(A5,TAB_PERSONNEL,3,FALSE)&amp;" "&amp;VLOOKUP(A5,TAB_PERSONNEL,2,FALSE)))</f>
        <v>Jean Rigole</v>
      </c>
      <c r="C5" s="21" t="str">
        <f>IF(ISBLANK(A5),"",IF(ISNA(VLOOKUP(A5,TAB_PERSONNEL,1,FALSE)),INDIC_ERREUR,IF(ISNA(VLOOKUP(VLOOKUP(A5,TAB_PERSONNEL,4,FALSE),TAB_EMPLOI,2,FALSE)),INDIC_ERREUR&amp;"fiche",VLOOKUP(VLOOKUP(A5,TAB_PERSONNEL,4,FALSE),TAB_EMPLOI,2,FALSE))))</f>
        <v>*erreur*fiche</v>
      </c>
      <c r="D5" s="21">
        <v>100</v>
      </c>
      <c r="E5" s="12">
        <f>COUNTIF(A5:D5,"="&amp;"*"&amp;INDIC_ERREUR&amp;"*")</f>
        <v>1</v>
      </c>
      <c r="G5" s="9">
        <v>1040</v>
      </c>
      <c r="H5" s="9" t="s">
        <v>159</v>
      </c>
      <c r="I5" s="9" t="s">
        <v>160</v>
      </c>
      <c r="J5" s="9" t="s">
        <v>156</v>
      </c>
      <c r="L5" s="9" t="s">
        <v>156</v>
      </c>
      <c r="M5" s="21">
        <v>1700</v>
      </c>
    </row>
    <row r="6" spans="1:15" x14ac:dyDescent="0.3">
      <c r="A6" s="9"/>
      <c r="B6" s="9" t="str">
        <f>IF(ISBLANK(A6),"",IF(ISNA(VLOOKUP(A6,TAB_PERSONNEL,2,FALSE)),INDIC_ERREUR,VLOOKUP(A6,TAB_PERSONNEL,3,FALSE)&amp;" "&amp;VLOOKUP(A6,TAB_PERSONNEL,2,FALSE)))</f>
        <v/>
      </c>
      <c r="C6" s="21" t="str">
        <f>IF(ISBLANK(A6),"",IF(ISNA(VLOOKUP(A6,TAB_PERSONNEL,1,FALSE)),INDIC_ERREUR,IF(ISNA(VLOOKUP(VLOOKUP(A6,TAB_PERSONNEL,4,FALSE),TAB_EMPLOI,2,FALSE)),INDIC_ERREUR&amp;"fiche",VLOOKUP(VLOOKUP(A6,TAB_PERSONNEL,4,FALSE),TAB_EMPLOI,2,FALSE))))</f>
        <v/>
      </c>
      <c r="D6" s="21"/>
      <c r="E6" s="12">
        <f>COUNTIF(A6:D6,"="&amp;"*"&amp;INDIC_ERREUR&amp;"*")</f>
        <v>0</v>
      </c>
      <c r="G6" s="9">
        <v>2000</v>
      </c>
      <c r="H6" s="9" t="s">
        <v>161</v>
      </c>
      <c r="I6" s="9" t="s">
        <v>162</v>
      </c>
      <c r="J6" s="9" t="s">
        <v>155</v>
      </c>
    </row>
    <row r="7" spans="1:15" ht="28.8" x14ac:dyDescent="0.3">
      <c r="B7" s="30" t="s">
        <v>164</v>
      </c>
      <c r="C7" s="29" t="str">
        <f>IF(E7&lt;&gt;0,"calcul impossible",SUM(C3:C6))</f>
        <v>calcul impossible</v>
      </c>
      <c r="D7" s="29" t="str">
        <f>IF(E7&lt;&gt;0,"calcul impossible",SUM(D3:D6))</f>
        <v>calcul impossible</v>
      </c>
      <c r="E7" s="12">
        <f>SUM(E3:E6)</f>
        <v>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3" sqref="C3"/>
    </sheetView>
  </sheetViews>
  <sheetFormatPr baseColWidth="10" defaultRowHeight="14.4" x14ac:dyDescent="0.3"/>
  <cols>
    <col min="3" max="3" width="12.88671875" customWidth="1"/>
  </cols>
  <sheetData>
    <row r="1" spans="1:4" x14ac:dyDescent="0.3">
      <c r="A1" s="25" t="s">
        <v>166</v>
      </c>
    </row>
    <row r="2" spans="1:4" x14ac:dyDescent="0.3">
      <c r="A2" s="8" t="s">
        <v>146</v>
      </c>
      <c r="B2" s="8" t="s">
        <v>7</v>
      </c>
      <c r="C2" s="8" t="s">
        <v>147</v>
      </c>
      <c r="D2" s="8" t="s">
        <v>163</v>
      </c>
    </row>
    <row r="3" spans="1:4" x14ac:dyDescent="0.3">
      <c r="A3" s="9">
        <v>1000</v>
      </c>
      <c r="B3" s="9" t="e">
        <f>VLOOKUP(A3,TAB_PERSONNEL,3,FALSE)&amp;" "&amp;VLOOKUP(A3,TAB_PERSONNEL,2,FALSE)</f>
        <v>#N/A</v>
      </c>
      <c r="C3" s="21" t="e">
        <f>VLOOKUP(VLOOKUP(A3,TAB_PERSONNEL,4,FALSE),TAB_EMPLOI,2,FALSE)</f>
        <v>#N/A</v>
      </c>
      <c r="D3" s="21">
        <v>300</v>
      </c>
    </row>
    <row r="4" spans="1:4" x14ac:dyDescent="0.3">
      <c r="A4" s="9">
        <v>1020</v>
      </c>
      <c r="B4" s="9" t="str">
        <f>VLOOKUP(A4,TAB_PERSONNEL,3,FALSE)&amp;" "&amp;VLOOKUP(A4,TAB_PERSONNEL,2,FALSE)</f>
        <v>Inès Perret</v>
      </c>
      <c r="C4" s="21">
        <f>VLOOKUP(VLOOKUP(A4,TAB_PERSONNEL,4,FALSE),TAB_EMPLOI,2,FALSE)</f>
        <v>1600</v>
      </c>
      <c r="D4" s="21">
        <v>200</v>
      </c>
    </row>
    <row r="5" spans="1:4" x14ac:dyDescent="0.3">
      <c r="A5" s="9">
        <v>1010</v>
      </c>
      <c r="B5" s="9" t="str">
        <f>VLOOKUP(A5,TAB_PERSONNEL,3,FALSE)&amp;" "&amp;VLOOKUP(A5,TAB_PERSONNEL,2,FALSE)</f>
        <v>Jean Rigole</v>
      </c>
      <c r="C5" s="21" t="e">
        <f>VLOOKUP(VLOOKUP(A5,TAB_PERSONNEL,4,FALSE),TAB_EMPLOI,2,FALSE)</f>
        <v>#N/A</v>
      </c>
      <c r="D5" s="21">
        <v>100</v>
      </c>
    </row>
    <row r="6" spans="1:4" x14ac:dyDescent="0.3">
      <c r="A6" s="9"/>
      <c r="B6" s="9" t="e">
        <f>VLOOKUP(A6,TAB_PERSONNEL,3,FALSE)&amp;" "&amp;VLOOKUP(A6,TAB_PERSONNEL,2,FALSE)</f>
        <v>#N/A</v>
      </c>
      <c r="C6" s="21" t="e">
        <f>VLOOKUP(VLOOKUP(A6,TAB_PERSONNEL,4,FALSE),TAB_EMPLOI,2,FALSE)</f>
        <v>#N/A</v>
      </c>
      <c r="D6" s="21"/>
    </row>
    <row r="7" spans="1:4" x14ac:dyDescent="0.3">
      <c r="B7" s="30" t="s">
        <v>164</v>
      </c>
      <c r="C7" s="29" t="e">
        <f>SUM(C3:C6)</f>
        <v>#N/A</v>
      </c>
      <c r="D7" s="29">
        <f>SUM(D3:D6)</f>
        <v>600</v>
      </c>
    </row>
  </sheetData>
  <pageMargins left="0.7" right="0.7" top="0.75" bottom="0.75" header="0.3" footer="0.3"/>
  <ignoredErrors>
    <ignoredError sqref="C5:C7 B6" evalError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G6" sqref="G6"/>
    </sheetView>
  </sheetViews>
  <sheetFormatPr baseColWidth="10" defaultRowHeight="14.4" x14ac:dyDescent="0.3"/>
  <cols>
    <col min="1" max="1" width="14.6640625" customWidth="1"/>
    <col min="6" max="6" width="7.77734375" customWidth="1"/>
    <col min="7" max="7" width="19.33203125" customWidth="1"/>
    <col min="10" max="10" width="17.44140625" customWidth="1"/>
  </cols>
  <sheetData>
    <row r="1" spans="1:10" ht="18" thickBot="1" x14ac:dyDescent="0.4">
      <c r="A1" s="31" t="s">
        <v>171</v>
      </c>
      <c r="B1" s="31"/>
      <c r="C1" s="31"/>
      <c r="D1" s="31"/>
      <c r="F1" s="45" t="s">
        <v>174</v>
      </c>
      <c r="G1" s="46"/>
      <c r="J1" s="39" t="s">
        <v>182</v>
      </c>
    </row>
    <row r="2" spans="1:10" ht="15" thickTop="1" x14ac:dyDescent="0.3">
      <c r="B2" t="s">
        <v>180</v>
      </c>
      <c r="F2" s="9" t="s">
        <v>173</v>
      </c>
      <c r="G2" s="33" t="s">
        <v>181</v>
      </c>
      <c r="J2" s="40">
        <f>INDEX(TAB_TARIFVIN,MATCH(G2,TAB_NOMVIN,0), MATCH(G3,TAB_ANNEEVIN,0))</f>
        <v>9.5</v>
      </c>
    </row>
    <row r="3" spans="1:10" x14ac:dyDescent="0.3">
      <c r="A3" s="9" t="s">
        <v>173</v>
      </c>
      <c r="B3" s="12">
        <v>2011</v>
      </c>
      <c r="C3" s="12">
        <v>2012</v>
      </c>
      <c r="D3" s="12">
        <v>2013</v>
      </c>
      <c r="F3" s="9" t="s">
        <v>172</v>
      </c>
      <c r="G3" s="33">
        <v>2012</v>
      </c>
    </row>
    <row r="4" spans="1:10" x14ac:dyDescent="0.3">
      <c r="A4" s="9" t="s">
        <v>175</v>
      </c>
      <c r="B4" s="32"/>
      <c r="C4" s="32">
        <v>0</v>
      </c>
      <c r="D4" s="32">
        <v>4.5</v>
      </c>
    </row>
    <row r="5" spans="1:10" x14ac:dyDescent="0.3">
      <c r="A5" s="9" t="s">
        <v>176</v>
      </c>
      <c r="B5" s="32">
        <v>0</v>
      </c>
      <c r="C5" s="37">
        <v>10.8</v>
      </c>
      <c r="D5" s="32">
        <v>6</v>
      </c>
      <c r="F5" s="9" t="s">
        <v>179</v>
      </c>
      <c r="G5" s="34">
        <f>IF(ISNA(VLOOKUP(G2,TAB_NOMVIN,1,FALSE)),"ce vin n'existe pas",IF(OR(ISNA(INDEX(TAB_TARIFVIN,MATCH(G2,TAB_NOMVIN,0),MATCH(G3,TAB_ANNEEVIN,0))),ISBLANK(INDEX(TAB_TARIFVIN,MATCH(G2,TAB_NOMVIN,0), MATCH(G3,TAB_ANNEEVIN,0)))),"non disponible", IF( INDEX(TAB_TARIFVIN,MATCH(G2,TAB_NOMVIN,0), MATCH(G3,TAB_ANNEEVIN,0))=0," epuisé",INDEX(TAB_TARIFVIN,MATCH(G2,TAB_NOMVIN,0), MATCH(G3,TAB_ANNEEVIN,0)))))</f>
        <v>9.5</v>
      </c>
    </row>
    <row r="6" spans="1:10" x14ac:dyDescent="0.3">
      <c r="A6" s="9" t="s">
        <v>177</v>
      </c>
      <c r="B6" s="35">
        <v>20.5</v>
      </c>
      <c r="C6" s="32">
        <v>11</v>
      </c>
      <c r="D6" s="36">
        <v>7</v>
      </c>
      <c r="F6" s="9" t="s">
        <v>183</v>
      </c>
      <c r="G6" s="34">
        <f>IF(ISNA(VLOOKUP(G2,TAB_NOMVIN,1,FALSE)),"ce vin n'existe pas",IF(OR(ISNA(RECH_TARIF),ISBLANK(RECH_TARIF)),"non disponible", IF( RECH_TARIF=0," epuisé",RECH_TARIF)))</f>
        <v>9.5</v>
      </c>
    </row>
    <row r="7" spans="1:10" x14ac:dyDescent="0.3">
      <c r="A7" s="9" t="s">
        <v>178</v>
      </c>
      <c r="B7" s="32">
        <v>0</v>
      </c>
      <c r="C7" s="38">
        <v>9.5</v>
      </c>
      <c r="D7" s="32">
        <v>7</v>
      </c>
    </row>
  </sheetData>
  <mergeCells count="1"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7" sqref="B7"/>
    </sheetView>
  </sheetViews>
  <sheetFormatPr baseColWidth="10" defaultRowHeight="14.4" x14ac:dyDescent="0.3"/>
  <cols>
    <col min="3" max="3" width="13" customWidth="1"/>
    <col min="4" max="4" width="14.33203125" customWidth="1"/>
  </cols>
  <sheetData>
    <row r="1" spans="1:4" x14ac:dyDescent="0.3">
      <c r="A1" t="s">
        <v>0</v>
      </c>
      <c r="B1" t="s">
        <v>16</v>
      </c>
      <c r="C1" t="s">
        <v>17</v>
      </c>
      <c r="D1" t="s">
        <v>18</v>
      </c>
    </row>
    <row r="2" spans="1:4" x14ac:dyDescent="0.3">
      <c r="A2" t="s">
        <v>4</v>
      </c>
      <c r="B2">
        <v>1.5</v>
      </c>
      <c r="C2">
        <v>1.75</v>
      </c>
      <c r="D2" t="b">
        <f>C2&gt;B2</f>
        <v>1</v>
      </c>
    </row>
    <row r="3" spans="1:4" x14ac:dyDescent="0.3">
      <c r="A3" t="s">
        <v>5</v>
      </c>
      <c r="B3">
        <v>5.25</v>
      </c>
      <c r="C3">
        <v>5.15</v>
      </c>
      <c r="D3" t="b">
        <f t="shared" ref="D3:D4" si="0">C3&gt;B3</f>
        <v>0</v>
      </c>
    </row>
    <row r="4" spans="1:4" x14ac:dyDescent="0.3">
      <c r="A4" t="s">
        <v>6</v>
      </c>
      <c r="B4">
        <v>3</v>
      </c>
      <c r="C4">
        <v>2.75</v>
      </c>
      <c r="D4" t="b">
        <f t="shared" si="0"/>
        <v>0</v>
      </c>
    </row>
    <row r="6" spans="1:4" x14ac:dyDescent="0.3">
      <c r="B6" t="s">
        <v>22</v>
      </c>
    </row>
    <row r="7" spans="1:4" x14ac:dyDescent="0.3">
      <c r="B7">
        <f>AVERAGE(B2:B4,C2:C4)</f>
        <v>3.2333333333333329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/>
  </sheetViews>
  <sheetFormatPr baseColWidth="10" defaultRowHeight="14.4" x14ac:dyDescent="0.3"/>
  <sheetData>
    <row r="1" spans="1:8" ht="43.2" x14ac:dyDescent="0.3">
      <c r="A1" s="47" t="s">
        <v>184</v>
      </c>
      <c r="B1" s="47" t="s">
        <v>185</v>
      </c>
      <c r="C1" s="47" t="s">
        <v>186</v>
      </c>
      <c r="D1" s="47" t="s">
        <v>187</v>
      </c>
      <c r="E1" s="47" t="s">
        <v>188</v>
      </c>
      <c r="F1" s="47" t="s">
        <v>189</v>
      </c>
      <c r="G1" s="47" t="s">
        <v>190</v>
      </c>
      <c r="H1" s="47" t="s">
        <v>191</v>
      </c>
    </row>
    <row r="2" spans="1:8" x14ac:dyDescent="0.3">
      <c r="A2">
        <v>1</v>
      </c>
      <c r="B2" t="s">
        <v>4</v>
      </c>
      <c r="C2" t="s">
        <v>192</v>
      </c>
      <c r="D2" s="48">
        <v>1.5</v>
      </c>
      <c r="E2">
        <v>100</v>
      </c>
      <c r="F2" t="s">
        <v>193</v>
      </c>
      <c r="G2" s="49">
        <v>41004</v>
      </c>
      <c r="H2" s="7">
        <f>D2*E2</f>
        <v>150</v>
      </c>
    </row>
    <row r="3" spans="1:8" x14ac:dyDescent="0.3">
      <c r="A3">
        <v>2</v>
      </c>
      <c r="B3" t="s">
        <v>194</v>
      </c>
      <c r="C3" t="s">
        <v>195</v>
      </c>
      <c r="D3" s="48">
        <v>1.1000000000000001</v>
      </c>
      <c r="E3">
        <v>150</v>
      </c>
      <c r="F3" t="s">
        <v>196</v>
      </c>
      <c r="G3" s="49">
        <v>41006</v>
      </c>
      <c r="H3" s="7">
        <f t="shared" ref="H3:H9" si="0">D3*E3</f>
        <v>165</v>
      </c>
    </row>
    <row r="4" spans="1:8" x14ac:dyDescent="0.3">
      <c r="A4">
        <v>3</v>
      </c>
      <c r="B4" t="s">
        <v>197</v>
      </c>
      <c r="C4" t="s">
        <v>198</v>
      </c>
      <c r="D4" s="48">
        <v>0.9</v>
      </c>
      <c r="E4">
        <v>200</v>
      </c>
      <c r="F4" t="s">
        <v>196</v>
      </c>
      <c r="G4" s="49">
        <v>41008</v>
      </c>
      <c r="H4" s="7">
        <f t="shared" si="0"/>
        <v>180</v>
      </c>
    </row>
    <row r="5" spans="1:8" x14ac:dyDescent="0.3">
      <c r="A5">
        <v>4</v>
      </c>
      <c r="B5" t="s">
        <v>194</v>
      </c>
      <c r="C5" t="s">
        <v>195</v>
      </c>
      <c r="D5" s="48">
        <v>1.1000000000000001</v>
      </c>
      <c r="E5">
        <v>50</v>
      </c>
      <c r="F5" t="s">
        <v>196</v>
      </c>
      <c r="G5" s="49">
        <v>41003</v>
      </c>
      <c r="H5" s="7">
        <f t="shared" si="0"/>
        <v>55.000000000000007</v>
      </c>
    </row>
    <row r="6" spans="1:8" x14ac:dyDescent="0.3">
      <c r="A6">
        <v>5</v>
      </c>
      <c r="B6" t="s">
        <v>4</v>
      </c>
      <c r="C6" t="s">
        <v>192</v>
      </c>
      <c r="D6" s="48">
        <v>1.5</v>
      </c>
      <c r="E6">
        <v>100</v>
      </c>
      <c r="F6" t="s">
        <v>193</v>
      </c>
      <c r="G6" s="49">
        <v>41007</v>
      </c>
      <c r="H6" s="7">
        <f t="shared" si="0"/>
        <v>150</v>
      </c>
    </row>
    <row r="7" spans="1:8" x14ac:dyDescent="0.3">
      <c r="A7">
        <v>6</v>
      </c>
      <c r="B7" t="s">
        <v>4</v>
      </c>
      <c r="C7" t="s">
        <v>192</v>
      </c>
      <c r="D7" s="48">
        <v>1.5</v>
      </c>
      <c r="E7">
        <v>120</v>
      </c>
      <c r="F7" t="s">
        <v>193</v>
      </c>
      <c r="G7" s="49">
        <v>41016</v>
      </c>
      <c r="H7" s="7">
        <f t="shared" si="0"/>
        <v>180</v>
      </c>
    </row>
    <row r="8" spans="1:8" x14ac:dyDescent="0.3">
      <c r="A8">
        <v>7</v>
      </c>
      <c r="B8" t="s">
        <v>199</v>
      </c>
      <c r="C8" t="s">
        <v>200</v>
      </c>
      <c r="D8" s="48">
        <v>1.4</v>
      </c>
      <c r="E8">
        <v>150</v>
      </c>
      <c r="F8" t="s">
        <v>193</v>
      </c>
      <c r="G8" s="49">
        <v>41003</v>
      </c>
      <c r="H8" s="7">
        <f t="shared" si="0"/>
        <v>210</v>
      </c>
    </row>
    <row r="9" spans="1:8" x14ac:dyDescent="0.3">
      <c r="A9">
        <v>8</v>
      </c>
      <c r="B9" t="s">
        <v>194</v>
      </c>
      <c r="C9" t="s">
        <v>195</v>
      </c>
      <c r="D9" s="48">
        <v>1.1000000000000001</v>
      </c>
      <c r="E9">
        <v>220</v>
      </c>
      <c r="F9" t="s">
        <v>196</v>
      </c>
      <c r="G9" s="49">
        <v>41006</v>
      </c>
      <c r="H9" s="7">
        <f t="shared" si="0"/>
        <v>242.00000000000003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5" sqref="C5"/>
    </sheetView>
  </sheetViews>
  <sheetFormatPr baseColWidth="10" defaultRowHeight="14.4" x14ac:dyDescent="0.3"/>
  <sheetData>
    <row r="1" spans="1:5" x14ac:dyDescent="0.3">
      <c r="A1" t="s">
        <v>0</v>
      </c>
      <c r="B1" t="s">
        <v>17</v>
      </c>
      <c r="C1" t="s">
        <v>19</v>
      </c>
      <c r="E1" t="s">
        <v>20</v>
      </c>
    </row>
    <row r="2" spans="1:5" x14ac:dyDescent="0.3">
      <c r="A2" t="s">
        <v>4</v>
      </c>
      <c r="B2">
        <v>1.75</v>
      </c>
      <c r="C2">
        <f>B2*(1+$E$2)</f>
        <v>1.8375000000000001</v>
      </c>
      <c r="E2" s="1">
        <v>0.05</v>
      </c>
    </row>
    <row r="3" spans="1:5" x14ac:dyDescent="0.3">
      <c r="A3" t="s">
        <v>5</v>
      </c>
      <c r="B3">
        <v>5.15</v>
      </c>
      <c r="C3">
        <f>B3*(1+$E$2)</f>
        <v>5.4075000000000006</v>
      </c>
    </row>
    <row r="4" spans="1:5" x14ac:dyDescent="0.3">
      <c r="A4" t="s">
        <v>6</v>
      </c>
      <c r="B4">
        <v>2.75</v>
      </c>
      <c r="C4">
        <f>B4*(1+$E$2)</f>
        <v>2.8875000000000002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B4"/>
    </sheetView>
  </sheetViews>
  <sheetFormatPr baseColWidth="10" defaultRowHeight="14.4" x14ac:dyDescent="0.3"/>
  <cols>
    <col min="4" max="4" width="16.21875" customWidth="1"/>
  </cols>
  <sheetData>
    <row r="1" spans="1:5" x14ac:dyDescent="0.3">
      <c r="A1" t="s">
        <v>0</v>
      </c>
      <c r="B1" t="s">
        <v>17</v>
      </c>
      <c r="C1" t="s">
        <v>19</v>
      </c>
      <c r="E1" t="s">
        <v>20</v>
      </c>
    </row>
    <row r="2" spans="1:5" x14ac:dyDescent="0.3">
      <c r="A2" t="s">
        <v>4</v>
      </c>
      <c r="B2">
        <v>1.75</v>
      </c>
      <c r="C2">
        <f>B2*(1+Taux_augmentation)</f>
        <v>1.8375000000000001</v>
      </c>
      <c r="E2" s="1">
        <v>0.05</v>
      </c>
    </row>
    <row r="3" spans="1:5" x14ac:dyDescent="0.3">
      <c r="A3" t="s">
        <v>5</v>
      </c>
      <c r="B3">
        <v>5.15</v>
      </c>
      <c r="C3">
        <f>B3*(1+Taux_augmentation)</f>
        <v>5.4075000000000006</v>
      </c>
    </row>
    <row r="4" spans="1:5" x14ac:dyDescent="0.3">
      <c r="A4" t="s">
        <v>6</v>
      </c>
      <c r="B4">
        <v>2.75</v>
      </c>
      <c r="C4">
        <f>B4*(1+Taux_augmentation)</f>
        <v>2.8875000000000002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B6" sqref="B6"/>
    </sheetView>
  </sheetViews>
  <sheetFormatPr baseColWidth="10" defaultRowHeight="14.4" x14ac:dyDescent="0.3"/>
  <sheetData>
    <row r="1" spans="1:7" x14ac:dyDescent="0.3">
      <c r="A1" s="2" t="s">
        <v>0</v>
      </c>
      <c r="B1" s="2" t="s">
        <v>23</v>
      </c>
      <c r="C1" s="2"/>
      <c r="D1" s="2"/>
      <c r="E1" s="2"/>
      <c r="F1" s="2"/>
      <c r="G1" s="2"/>
    </row>
    <row r="2" spans="1:7" x14ac:dyDescent="0.3">
      <c r="A2" t="s">
        <v>4</v>
      </c>
      <c r="B2">
        <v>1.75</v>
      </c>
    </row>
    <row r="3" spans="1:7" x14ac:dyDescent="0.3">
      <c r="A3" t="s">
        <v>5</v>
      </c>
      <c r="B3">
        <v>5.15</v>
      </c>
    </row>
    <row r="4" spans="1:7" x14ac:dyDescent="0.3">
      <c r="A4" t="s">
        <v>6</v>
      </c>
      <c r="B4">
        <v>2.75</v>
      </c>
    </row>
    <row r="5" spans="1:7" x14ac:dyDescent="0.3">
      <c r="A5" s="3" t="s">
        <v>25</v>
      </c>
      <c r="B5">
        <f>MIN(B2:B4)</f>
        <v>1.75</v>
      </c>
    </row>
    <row r="6" spans="1:7" x14ac:dyDescent="0.3">
      <c r="A6" s="3" t="s">
        <v>26</v>
      </c>
      <c r="B6">
        <f>MAX(B2:B4)</f>
        <v>5.15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2" sqref="E12"/>
    </sheetView>
  </sheetViews>
  <sheetFormatPr baseColWidth="10" defaultRowHeight="14.4" x14ac:dyDescent="0.3"/>
  <sheetData>
    <row r="1" spans="1:6" x14ac:dyDescent="0.3">
      <c r="C1" s="41" t="s">
        <v>24</v>
      </c>
      <c r="D1" s="41"/>
      <c r="E1" s="41"/>
      <c r="F1" s="41"/>
    </row>
    <row r="2" spans="1:6" x14ac:dyDescent="0.3">
      <c r="A2" t="s">
        <v>0</v>
      </c>
      <c r="B2" t="s">
        <v>23</v>
      </c>
      <c r="C2" s="2">
        <v>2</v>
      </c>
      <c r="D2" s="2">
        <v>3</v>
      </c>
      <c r="E2" s="2">
        <v>4</v>
      </c>
      <c r="F2" s="2">
        <v>5</v>
      </c>
    </row>
    <row r="3" spans="1:6" x14ac:dyDescent="0.3">
      <c r="A3" t="s">
        <v>4</v>
      </c>
      <c r="B3">
        <v>1.75</v>
      </c>
      <c r="C3">
        <f>$B3*C$2</f>
        <v>3.5</v>
      </c>
      <c r="D3">
        <f t="shared" ref="D3:F5" si="0">$B3*D$2</f>
        <v>5.25</v>
      </c>
      <c r="E3">
        <f t="shared" si="0"/>
        <v>7</v>
      </c>
      <c r="F3">
        <f t="shared" si="0"/>
        <v>8.75</v>
      </c>
    </row>
    <row r="4" spans="1:6" x14ac:dyDescent="0.3">
      <c r="A4" t="s">
        <v>5</v>
      </c>
      <c r="B4">
        <v>5.15</v>
      </c>
      <c r="C4">
        <f t="shared" ref="C4:C5" si="1">$B4*C$2</f>
        <v>10.3</v>
      </c>
      <c r="D4">
        <f t="shared" si="0"/>
        <v>15.450000000000001</v>
      </c>
      <c r="E4">
        <f t="shared" si="0"/>
        <v>20.6</v>
      </c>
      <c r="F4">
        <f t="shared" si="0"/>
        <v>25.75</v>
      </c>
    </row>
    <row r="5" spans="1:6" x14ac:dyDescent="0.3">
      <c r="A5" t="s">
        <v>6</v>
      </c>
      <c r="B5">
        <v>2.75</v>
      </c>
      <c r="C5">
        <f t="shared" si="1"/>
        <v>5.5</v>
      </c>
      <c r="D5">
        <f t="shared" si="0"/>
        <v>8.25</v>
      </c>
      <c r="E5">
        <f t="shared" si="0"/>
        <v>11</v>
      </c>
      <c r="F5">
        <f t="shared" si="0"/>
        <v>13.75</v>
      </c>
    </row>
  </sheetData>
  <mergeCells count="1">
    <mergeCell ref="C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E4"/>
    </sheetView>
  </sheetViews>
  <sheetFormatPr baseColWidth="10" defaultRowHeight="14.4" x14ac:dyDescent="0.3"/>
  <cols>
    <col min="3" max="3" width="16.33203125" customWidth="1"/>
    <col min="4" max="4" width="14.88671875" customWidth="1"/>
    <col min="5" max="5" width="10.33203125" customWidth="1"/>
  </cols>
  <sheetData>
    <row r="1" spans="1:5" x14ac:dyDescent="0.3">
      <c r="A1" t="s">
        <v>0</v>
      </c>
      <c r="B1" t="s">
        <v>27</v>
      </c>
      <c r="C1" t="s">
        <v>28</v>
      </c>
      <c r="D1" t="s">
        <v>31</v>
      </c>
      <c r="E1" t="s">
        <v>29</v>
      </c>
    </row>
    <row r="2" spans="1:5" x14ac:dyDescent="0.3">
      <c r="A2" t="s">
        <v>4</v>
      </c>
      <c r="B2">
        <v>100</v>
      </c>
      <c r="C2" t="b">
        <f>B2&lt;$E$2</f>
        <v>0</v>
      </c>
      <c r="D2" t="s">
        <v>33</v>
      </c>
      <c r="E2">
        <v>50</v>
      </c>
    </row>
    <row r="3" spans="1:5" x14ac:dyDescent="0.3">
      <c r="A3" t="s">
        <v>5</v>
      </c>
      <c r="B3">
        <v>25</v>
      </c>
      <c r="C3" t="b">
        <f t="shared" ref="C3:C4" si="0">B3&lt;$E$2</f>
        <v>1</v>
      </c>
      <c r="D3">
        <v>100</v>
      </c>
    </row>
    <row r="4" spans="1:5" x14ac:dyDescent="0.3">
      <c r="A4" t="s">
        <v>6</v>
      </c>
      <c r="B4">
        <v>120</v>
      </c>
      <c r="C4" t="b">
        <f t="shared" si="0"/>
        <v>0</v>
      </c>
    </row>
    <row r="6" spans="1:5" x14ac:dyDescent="0.3">
      <c r="A6" t="s">
        <v>30</v>
      </c>
      <c r="D6" t="s">
        <v>32</v>
      </c>
    </row>
    <row r="7" spans="1:5" x14ac:dyDescent="0.3">
      <c r="A7">
        <f>COUNTA(A2:A4)</f>
        <v>3</v>
      </c>
      <c r="D7">
        <f>COUNT(D2:D4)</f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E6"/>
    </sheetView>
  </sheetViews>
  <sheetFormatPr baseColWidth="10" defaultRowHeight="14.4" x14ac:dyDescent="0.3"/>
  <sheetData>
    <row r="1" spans="1:5" x14ac:dyDescent="0.3">
      <c r="A1" t="s">
        <v>0</v>
      </c>
      <c r="B1" t="s">
        <v>34</v>
      </c>
      <c r="C1" t="s">
        <v>1</v>
      </c>
      <c r="D1" t="s">
        <v>2</v>
      </c>
      <c r="E1" t="s">
        <v>3</v>
      </c>
    </row>
    <row r="2" spans="1:5" x14ac:dyDescent="0.3">
      <c r="A2" t="s">
        <v>4</v>
      </c>
      <c r="B2" t="s">
        <v>35</v>
      </c>
      <c r="C2">
        <v>10</v>
      </c>
      <c r="D2">
        <v>1.5</v>
      </c>
      <c r="E2">
        <f>C2*D2</f>
        <v>15</v>
      </c>
    </row>
    <row r="3" spans="1:5" x14ac:dyDescent="0.3">
      <c r="A3" t="s">
        <v>5</v>
      </c>
      <c r="B3" t="s">
        <v>35</v>
      </c>
      <c r="C3">
        <v>25</v>
      </c>
      <c r="D3">
        <v>5.25</v>
      </c>
      <c r="E3">
        <f>C3*D3</f>
        <v>131.25</v>
      </c>
    </row>
    <row r="4" spans="1:5" x14ac:dyDescent="0.3">
      <c r="A4" t="s">
        <v>6</v>
      </c>
      <c r="B4" t="s">
        <v>36</v>
      </c>
      <c r="C4">
        <v>32</v>
      </c>
      <c r="D4">
        <v>3</v>
      </c>
      <c r="E4">
        <f>C4*D4</f>
        <v>96</v>
      </c>
    </row>
    <row r="5" spans="1:5" x14ac:dyDescent="0.3">
      <c r="D5" s="3" t="s">
        <v>21</v>
      </c>
      <c r="E5">
        <f>SUM(E2:E4)</f>
        <v>242.25</v>
      </c>
    </row>
    <row r="6" spans="1:5" x14ac:dyDescent="0.3">
      <c r="A6" t="s">
        <v>37</v>
      </c>
      <c r="B6" t="s">
        <v>36</v>
      </c>
      <c r="C6">
        <f>SUMIF(B2:B4,B6,C2:C4)</f>
        <v>32</v>
      </c>
      <c r="E6">
        <f>SUMIF(B2:B4,B6,E2:E4)</f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30</vt:i4>
      </vt:variant>
      <vt:variant>
        <vt:lpstr>Plages nommées</vt:lpstr>
      </vt:variant>
      <vt:variant>
        <vt:i4>11</vt:i4>
      </vt:variant>
    </vt:vector>
  </HeadingPairs>
  <TitlesOfParts>
    <vt:vector size="41" baseType="lpstr"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Feuil16v</vt:lpstr>
      <vt:lpstr>Feuil17v</vt:lpstr>
      <vt:lpstr>Feuil16h</vt:lpstr>
      <vt:lpstr>Feuil17h</vt:lpstr>
      <vt:lpstr>Feuil16</vt:lpstr>
      <vt:lpstr>Feuil17</vt:lpstr>
      <vt:lpstr>Feuil22</vt:lpstr>
      <vt:lpstr>Feuil22r</vt:lpstr>
      <vt:lpstr>fiche10A</vt:lpstr>
      <vt:lpstr>fiche10B</vt:lpstr>
      <vt:lpstr>fiche10C</vt:lpstr>
      <vt:lpstr>fiche11A</vt:lpstr>
      <vt:lpstr>fiche11B</vt:lpstr>
      <vt:lpstr>fiche11C</vt:lpstr>
      <vt:lpstr>Feuil18</vt:lpstr>
      <vt:lpstr>INDIC_ERREUR</vt:lpstr>
      <vt:lpstr>RECH_TARIF</vt:lpstr>
      <vt:lpstr>TAB_AEROPORTS</vt:lpstr>
      <vt:lpstr>TAB_ANNEEVIN</vt:lpstr>
      <vt:lpstr>TAB_AVIONS</vt:lpstr>
      <vt:lpstr>TAB_COMPAGNIES</vt:lpstr>
      <vt:lpstr>TAB_EMPLOI</vt:lpstr>
      <vt:lpstr>TAB_NOMVIN</vt:lpstr>
      <vt:lpstr>TAB_PERSONNEL</vt:lpstr>
      <vt:lpstr>TAB_TARIFVIN</vt:lpstr>
      <vt:lpstr>Taux_augmentation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2014-09-29T11:30:46Z</dcterms:created>
  <dcterms:modified xsi:type="dcterms:W3CDTF">2014-11-16T13:52:18Z</dcterms:modified>
</cp:coreProperties>
</file>